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E:\websites\climate\BE\working-docs\"/>
    </mc:Choice>
  </mc:AlternateContent>
  <xr:revisionPtr revIDLastSave="0" documentId="8_{42BBDD86-CC8C-4DC7-A7D3-ED3DB1827ACF}" xr6:coauthVersionLast="47" xr6:coauthVersionMax="47" xr10:uidLastSave="{00000000-0000-0000-0000-000000000000}"/>
  <bookViews>
    <workbookView xWindow="-120" yWindow="-120" windowWidth="29040" windowHeight="15840" tabRatio="500" activeTab="1" xr2:uid="{00000000-000D-0000-FFFF-FFFF00000000}"/>
  </bookViews>
  <sheets>
    <sheet name="NJEmissions" sheetId="1" r:id="rId1"/>
    <sheet name="2030Targets" sheetId="2" r:id="rId2"/>
    <sheet name="YOYNGDecline" sheetId="3" r:id="rId3"/>
    <sheet name="NJ EMP GHG Charts" sheetId="4" r:id="rId4"/>
    <sheet name="MassComparisonRef" sheetId="5" r:id="rId5"/>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A8" i="3" l="1"/>
  <c r="A9" i="3" s="1"/>
  <c r="A10" i="3" s="1"/>
  <c r="A11" i="3" s="1"/>
  <c r="A12" i="3" s="1"/>
  <c r="A13" i="3" s="1"/>
  <c r="A14" i="3" s="1"/>
  <c r="A15" i="3" s="1"/>
  <c r="A7" i="3"/>
  <c r="B5" i="3"/>
  <c r="B6" i="3" s="1"/>
  <c r="B7" i="3" s="1"/>
  <c r="B8" i="3" s="1"/>
  <c r="B9" i="3" s="1"/>
  <c r="B10" i="3" s="1"/>
  <c r="B11" i="3" s="1"/>
  <c r="B12" i="3" s="1"/>
  <c r="B13" i="3" s="1"/>
  <c r="B14" i="3" s="1"/>
  <c r="B15" i="3" s="1"/>
  <c r="B55" i="2" s="1"/>
  <c r="B56" i="2" s="1"/>
  <c r="B2" i="3"/>
  <c r="B1" i="3"/>
  <c r="B74" i="2"/>
  <c r="B75" i="2" s="1"/>
  <c r="M7" i="2" s="1"/>
  <c r="B71" i="2"/>
  <c r="B62" i="2"/>
  <c r="B50" i="2"/>
  <c r="B48" i="2"/>
  <c r="B47" i="2"/>
  <c r="B34" i="2"/>
  <c r="B28" i="2"/>
  <c r="K17" i="2" s="1"/>
  <c r="K16" i="2" s="1"/>
  <c r="K3" i="2" s="1"/>
  <c r="K5" i="2" s="1"/>
  <c r="B24" i="2"/>
  <c r="B26" i="2" s="1"/>
  <c r="A12" i="2" s="1"/>
  <c r="F18" i="2"/>
  <c r="J17" i="2"/>
  <c r="J18" i="2" s="1"/>
  <c r="F17" i="2"/>
  <c r="E17" i="2"/>
  <c r="E18" i="2" s="1"/>
  <c r="N16" i="2"/>
  <c r="N17" i="2" s="1"/>
  <c r="N18" i="2" s="1"/>
  <c r="L16" i="2"/>
  <c r="L17" i="2" s="1"/>
  <c r="L18" i="2" s="1"/>
  <c r="H16" i="2"/>
  <c r="H17" i="2" s="1"/>
  <c r="H18" i="2" s="1"/>
  <c r="F16" i="2"/>
  <c r="C16" i="2"/>
  <c r="C17" i="2" s="1"/>
  <c r="C18" i="2" s="1"/>
  <c r="B16" i="2"/>
  <c r="N5" i="2"/>
  <c r="N6" i="2" s="1"/>
  <c r="N7" i="2" s="1"/>
  <c r="L5" i="2"/>
  <c r="J5" i="2"/>
  <c r="H5" i="2"/>
  <c r="G5" i="2"/>
  <c r="G6" i="2" s="1"/>
  <c r="F5" i="2"/>
  <c r="E5" i="2"/>
  <c r="C5" i="2"/>
  <c r="B5" i="2"/>
  <c r="J3" i="2"/>
  <c r="I3" i="2"/>
  <c r="G3" i="2"/>
  <c r="G16" i="2" s="1"/>
  <c r="G17" i="2" s="1"/>
  <c r="G18" i="2" s="1"/>
  <c r="E3" i="2"/>
  <c r="D3" i="2"/>
  <c r="D5" i="2" s="1"/>
  <c r="A3" i="2"/>
  <c r="E39" i="1"/>
  <c r="B39" i="1"/>
  <c r="B41" i="1" s="1"/>
  <c r="C37" i="1"/>
  <c r="C36" i="1"/>
  <c r="C35" i="1"/>
  <c r="C34" i="1"/>
  <c r="C33" i="1"/>
  <c r="C32" i="1"/>
  <c r="C30" i="1"/>
  <c r="C29" i="1"/>
  <c r="C28" i="1"/>
  <c r="C27" i="1"/>
  <c r="C25" i="1"/>
  <c r="C24" i="1"/>
  <c r="C23" i="1"/>
  <c r="C22" i="1"/>
  <c r="C21" i="1"/>
  <c r="C18" i="1"/>
  <c r="E17" i="1"/>
  <c r="D17" i="1"/>
  <c r="C17" i="1"/>
  <c r="E16" i="1"/>
  <c r="D16" i="1"/>
  <c r="C16" i="1"/>
  <c r="C15" i="1"/>
  <c r="C13" i="1"/>
  <c r="C12" i="1"/>
  <c r="D12" i="1" s="1"/>
  <c r="E12" i="1" s="1"/>
  <c r="F12" i="1" s="1"/>
  <c r="C11" i="1"/>
  <c r="E10" i="1"/>
  <c r="D10" i="1"/>
  <c r="C10" i="1"/>
  <c r="E9" i="1"/>
  <c r="D9" i="1"/>
  <c r="C9" i="1"/>
  <c r="C8" i="1"/>
  <c r="E6" i="1"/>
  <c r="D6" i="1"/>
  <c r="C6" i="1"/>
  <c r="E4" i="1"/>
  <c r="D4" i="1"/>
  <c r="C4" i="1"/>
  <c r="C3" i="1"/>
  <c r="D39" i="1" l="1"/>
  <c r="I5" i="2"/>
  <c r="I16" i="2"/>
  <c r="I17" i="2" s="1"/>
  <c r="I18" i="2" s="1"/>
  <c r="E7" i="2"/>
  <c r="J7" i="2"/>
  <c r="D6" i="2"/>
  <c r="D7" i="2" s="1"/>
  <c r="F6" i="2"/>
  <c r="F7" i="2"/>
  <c r="M12" i="2"/>
  <c r="M3" i="2"/>
  <c r="M16" i="2" s="1"/>
  <c r="M17" i="2" s="1"/>
  <c r="M18" i="2" s="1"/>
  <c r="M14" i="2"/>
  <c r="M11" i="2"/>
  <c r="M13" i="2"/>
  <c r="M8" i="2"/>
  <c r="F10" i="1"/>
  <c r="B6" i="2"/>
  <c r="B7" i="2" s="1"/>
  <c r="N13" i="2"/>
  <c r="N8" i="2"/>
  <c r="N14" i="2"/>
  <c r="N11" i="2"/>
  <c r="N12" i="2"/>
  <c r="K7" i="2"/>
  <c r="K6" i="2"/>
  <c r="J6" i="2"/>
  <c r="C6" i="2"/>
  <c r="C7" i="2" s="1"/>
  <c r="G7" i="2"/>
  <c r="D16" i="2"/>
  <c r="D17" i="2" s="1"/>
  <c r="D18" i="2" s="1"/>
  <c r="C40" i="1"/>
  <c r="H6" i="2"/>
  <c r="H7" i="2" s="1"/>
  <c r="L6" i="2"/>
  <c r="L7" i="2" s="1"/>
  <c r="E6" i="2"/>
  <c r="L13" i="2" l="1"/>
  <c r="L8" i="2"/>
  <c r="L11" i="2"/>
  <c r="L12" i="2"/>
  <c r="L14" i="2"/>
  <c r="D13" i="2"/>
  <c r="D8" i="2"/>
  <c r="D11" i="2"/>
  <c r="D12" i="2"/>
  <c r="D14" i="2"/>
  <c r="H13" i="2"/>
  <c r="H8" i="2"/>
  <c r="H14" i="2"/>
  <c r="H12" i="2"/>
  <c r="H11" i="2"/>
  <c r="C14" i="2"/>
  <c r="C11" i="2"/>
  <c r="C13" i="2"/>
  <c r="C8" i="2"/>
  <c r="C12" i="2"/>
  <c r="B13" i="2"/>
  <c r="B14" i="2"/>
  <c r="B11" i="2"/>
  <c r="B8" i="2"/>
  <c r="B12" i="2"/>
  <c r="G14" i="2"/>
  <c r="G11" i="2"/>
  <c r="G12" i="2"/>
  <c r="G13" i="2"/>
  <c r="G8" i="2"/>
  <c r="K14" i="2"/>
  <c r="K11" i="2"/>
  <c r="K13" i="2"/>
  <c r="K8" i="2"/>
  <c r="K12" i="2"/>
  <c r="F8" i="2"/>
  <c r="F12" i="2"/>
  <c r="F14" i="2"/>
  <c r="F11" i="2"/>
  <c r="F13" i="2"/>
  <c r="J14" i="2"/>
  <c r="J11" i="2"/>
  <c r="J13" i="2"/>
  <c r="J8" i="2"/>
  <c r="J12" i="2"/>
  <c r="F16" i="1"/>
  <c r="F6" i="1"/>
  <c r="F17" i="1"/>
  <c r="F4" i="1"/>
  <c r="E12" i="2"/>
  <c r="E13" i="2"/>
  <c r="E8" i="2"/>
  <c r="E14" i="2"/>
  <c r="E11" i="2"/>
  <c r="I6" i="2"/>
  <c r="I7" i="2" s="1"/>
  <c r="F9" i="1"/>
  <c r="I12" i="2" l="1"/>
  <c r="I14" i="2"/>
  <c r="I11" i="2"/>
  <c r="I13" i="2"/>
  <c r="I8" i="2"/>
  <c r="F39" i="1"/>
</calcChain>
</file>

<file path=xl/sharedStrings.xml><?xml version="1.0" encoding="utf-8"?>
<sst xmlns="http://schemas.openxmlformats.org/spreadsheetml/2006/main" count="159" uniqueCount="151">
  <si>
    <t>NJ Emissions – 2019</t>
  </si>
  <si>
    <t>Millions of metric tons CO2e  (2019)</t>
  </si>
  <si>
    <t>% Gross Emissions</t>
  </si>
  <si>
    <t>Version 1 Coverage</t>
  </si>
  <si>
    <t>Version 1 Coverage Millions of metric tons CO2e  (2019)</t>
  </si>
  <si>
    <t>Version 1 Coverage % by Type</t>
  </si>
  <si>
    <t>Energy</t>
  </si>
  <si>
    <t>Commercial Energy</t>
  </si>
  <si>
    <t>Industrial Energy</t>
  </si>
  <si>
    <t>Residential Energy</t>
  </si>
  <si>
    <t>Transportation</t>
  </si>
  <si>
    <t>On-Road Gasoline</t>
  </si>
  <si>
    <t>Distillate</t>
  </si>
  <si>
    <t>Jet Fuel</t>
  </si>
  <si>
    <t>Residual Fuel</t>
  </si>
  <si>
    <t>Other</t>
  </si>
  <si>
    <t>Electricity</t>
  </si>
  <si>
    <t>In-State Electric</t>
  </si>
  <si>
    <t>Imported Electric</t>
  </si>
  <si>
    <t>MSW Incineration</t>
  </si>
  <si>
    <t>Cryptocurrency (This is not specific NJ type but identified for potential action)</t>
  </si>
  <si>
    <t>Non-Energy</t>
  </si>
  <si>
    <t xml:space="preserve">Halogenated Gases (excl. SF6) </t>
  </si>
  <si>
    <t>SF6 (Sulfur Hexafluoride)</t>
  </si>
  <si>
    <t>Agriculture</t>
  </si>
  <si>
    <t>Natural Gas Transmission and Distribution</t>
  </si>
  <si>
    <t>Landfills</t>
  </si>
  <si>
    <t>In-State</t>
  </si>
  <si>
    <t>Out-of-State</t>
  </si>
  <si>
    <t>Industrial</t>
  </si>
  <si>
    <t>Other:</t>
  </si>
  <si>
    <t>POTWs (Publicly Owned Treatment Works)</t>
  </si>
  <si>
    <t>Released Through Land Clearing</t>
  </si>
  <si>
    <t>Other Industrial and non Fuel Related</t>
  </si>
  <si>
    <t>Total Gross Emissions</t>
  </si>
  <si>
    <t>Sequestered</t>
  </si>
  <si>
    <t>Total Net Emissions</t>
  </si>
  <si>
    <t>Reference:</t>
  </si>
  <si>
    <t>https://nj.gov/dep/aqes/ghgarchive/MCU%20GHG%20Inventory_2021.pdf</t>
  </si>
  <si>
    <t>CAUTION: Formulas &amp; Data Entry Sources vary in scenarios and cells. Be careful making any changes.</t>
  </si>
  <si>
    <t xml:space="preserve">Scenario: </t>
  </si>
  <si>
    <t>Undesirable % Target (2019 EMP gives no mandates &amp; laws)</t>
  </si>
  <si>
    <t>Possible % Target</t>
  </si>
  <si>
    <t>New York Comparison Prorated for NJ</t>
  </si>
  <si>
    <t>BE Team Specified 500K Goal 3/24/22</t>
  </si>
  <si>
    <t>“Least Cost” residential space heating 2019 EMP Technical Report</t>
  </si>
  <si>
    <t>Based on Acadia Report 2/22</t>
  </si>
  <si>
    <t>“Ambitious Pathway” per NJ BPU ratepayer study slide 3/25/22</t>
  </si>
  <si>
    <t>Older BE Team Specified 1 million Goal 3/22</t>
  </si>
  <si>
    <r>
      <rPr>
        <sz val="8"/>
        <rFont val="Arial"/>
        <family val="2"/>
        <charset val="1"/>
      </rPr>
      <t xml:space="preserve">90% Goal </t>
    </r>
    <r>
      <rPr>
        <b/>
        <sz val="8"/>
        <rFont val="Arial"/>
        <family val="2"/>
        <charset val="1"/>
      </rPr>
      <t>FOR 2050 started 2022</t>
    </r>
  </si>
  <si>
    <t>Massachusetts Comparison Prorated for NJ</t>
  </si>
  <si>
    <r>
      <rPr>
        <sz val="8"/>
        <rFont val="Arial"/>
        <family val="2"/>
        <charset val="1"/>
      </rPr>
      <t xml:space="preserve">2019 NJ EMP 90%  Goal </t>
    </r>
    <r>
      <rPr>
        <b/>
        <sz val="8"/>
        <rFont val="Arial"/>
        <family val="2"/>
        <charset val="1"/>
      </rPr>
      <t>FOR 2050 met by 2030</t>
    </r>
  </si>
  <si>
    <t>MMT saved by “cold climate” heat pump computations:</t>
  </si>
  <si>
    <t>MMT saved (without adjusting for electricity consumed)</t>
  </si>
  <si>
    <t>NA</t>
  </si>
  <si>
    <t>MMT newly generated from “cold climate” heat pump electricity</t>
  </si>
  <si>
    <t>Net MMT saved by “cold climate” heat pump</t>
  </si>
  <si>
    <t>% Residential Heating GHG Reduced</t>
  </si>
  <si>
    <t>Plausible 2030 MMT Gaps to desired % reduction of 2005 emissions:*</t>
  </si>
  <si>
    <t>% of Gap saved by BE penetration (assume “cold climate” air source heat pump drives entire savings)</t>
  </si>
  <si>
    <t>Estimated BE converted residential units by Target Year</t>
  </si>
  <si>
    <t>Required Annual converted residential units for desired year span</t>
  </si>
  <si>
    <r>
      <rPr>
        <sz val="8"/>
        <rFont val="Arial"/>
        <family val="2"/>
        <charset val="1"/>
      </rPr>
      <t xml:space="preserve">Estimated Year to complete </t>
    </r>
    <r>
      <rPr>
        <b/>
        <sz val="8"/>
        <rFont val="Arial"/>
        <family val="2"/>
        <charset val="1"/>
      </rPr>
      <t>90</t>
    </r>
    <r>
      <rPr>
        <sz val="8"/>
        <rFont val="Arial"/>
        <family val="2"/>
        <charset val="1"/>
      </rPr>
      <t>% Building Electrification; uses linear extrapolation  from start year except where noted</t>
    </r>
  </si>
  <si>
    <t>Never</t>
  </si>
  <si>
    <t>2019 Residential Energy (Heating) MMT</t>
  </si>
  <si>
    <t>Target Year</t>
  </si>
  <si>
    <t>NJ 2005 GHG Emissions (with sequestering)</t>
  </si>
  <si>
    <t>https://www.nj.gov/dep/aqes/ghgarchive/GHG%20Inventory%20Report_2009.pdf</t>
  </si>
  <si>
    <t>Desired Target % GHG Reduction</t>
  </si>
  <si>
    <t>Desired MMT GHG Target</t>
  </si>
  <si>
    <t>2030 “Eyeball” MMT Reference 2 curve 2019 NJ EMP Figure 1.2</t>
  </si>
  <si>
    <t>“Eyeball” MMT Gap Ref 2 2019 NJ EMP vs Desired MMT % Target</t>
  </si>
  <si>
    <t>Desired Starting Span from a current year to Achieve Desired BE %</t>
  </si>
  <si>
    <t>Estimated Start Year BE based on Target Year less Desired Starting Span</t>
  </si>
  <si>
    <t>Carbon Dioxide Metric Tons per Therm Natural Gas</t>
  </si>
  <si>
    <t>https://www.epa.gov/energy/greenhouse-gases-equivalencies-calculator-calculations-and-references#:~:text=Carbon%20dioxide%20emissions%20per%20therm%20can%20be%20converted,x%2010.36%20therms%2FMcf%20%3D%200.0548%20metric%20tons%20CO2%2FMcf</t>
  </si>
  <si>
    <t>Assumed HSPF for New Jersey “cold climate” heat pump</t>
  </si>
  <si>
    <t>Based on average of HSPF=9 &amp; 10 offered for NJ rebates at JCP&amp;L website Jan, 2022</t>
  </si>
  <si>
    <t>New Jersey 2020 Electricity Generation (MWH)</t>
  </si>
  <si>
    <t>https://www.eia.gov/electricity/state/newjersey/</t>
  </si>
  <si>
    <t>NJ 2020 CO2 Emissions for Electricity (thousand metric tons)</t>
  </si>
  <si>
    <t>CO2 pounds per MWH</t>
  </si>
  <si>
    <t>492 for NJ for 2017 per separate ref;  850 nationally from https://www.eia.gov/tools/faqs/faq.php?id=74&amp;t=11</t>
  </si>
  <si>
    <t>Pounds per Metric Ton</t>
  </si>
  <si>
    <t>“cold climate” heat pump MMT saved over MMT electricity (RPS) used – for target year</t>
  </si>
  <si>
    <t>Enter user appropriate value for user locale &amp; data; default here is via reference from the Residential Energy  tab of NJ GHG reduction model</t>
  </si>
  <si>
    <t>NJ Residential Units</t>
  </si>
  <si>
    <t>https://www.census.gov/library/stories/state-by-state/new-jersey-population-change-between-census-decade.html</t>
  </si>
  <si>
    <t>Est residential units converted by 2030 sought by Acadia Report:</t>
  </si>
  <si>
    <t>https://acadiacenter.org/resource/the-future-is-electric/  “NJBPU together with other agencies should set new goals to convert all homes with costly electric resistance, oil or propane heating to electric heat pumps by 2030, as well as at least 20% of homes with fossil gas heating systems”</t>
  </si>
  <si>
    <t>Natural Gas % Sought by 2030</t>
  </si>
  <si>
    <t>Propane % sought by 2030</t>
  </si>
  <si>
    <t>Oil % sought by 2030</t>
  </si>
  <si>
    <t>Electrical Resistance % sought by 2030</t>
  </si>
  <si>
    <t>100%, But NA for this analysis</t>
  </si>
  <si>
    <t>NOT covered in the above table target percentages because these emissions are not included in the NJ residential space heating category (NJ treats them under electricity)</t>
  </si>
  <si>
    <t>Natural Gas Est % Existing Residential Units</t>
  </si>
  <si>
    <r>
      <rPr>
        <sz val="8"/>
        <rFont val="Arial"/>
        <family val="2"/>
        <charset val="1"/>
      </rPr>
      <t>From same Acadia report: “….</t>
    </r>
    <r>
      <rPr>
        <sz val="9"/>
        <color rgb="FF004371"/>
        <rFont val="TradeGothicNextSRPro-Cn"/>
        <family val="2"/>
        <charset val="1"/>
      </rPr>
      <t>87% of residential buildings and 82% of commercial buildings relying
predominantly on natural gas. About 10% of residential households rely on fuel oil
or propane”</t>
    </r>
  </si>
  <si>
    <t>Oil &amp; Propane Est  % Existing Residential Units</t>
  </si>
  <si>
    <t>Other heating source</t>
  </si>
  <si>
    <t>Imputed from prior two rows</t>
  </si>
  <si>
    <t>Assumes Acadia percentages above only apply to buildings burning fossil fuels (i.e. excludes elecrical resistance, solely solar, etc). Est.   Acadia Percentage NJ Residences excluding other Sought by 2030</t>
  </si>
  <si>
    <t>A component of this formula treats both oil &amp; natural gas at 100% conversion for 2030</t>
  </si>
  <si>
    <t>Estimated % electricity NJ residences</t>
  </si>
  <si>
    <t xml:space="preserve">https://www.eia.gov/state/?sid=NJ </t>
  </si>
  <si>
    <t>Adjusted Est. Acadia target conversion percentage for ALL residences including electrical resistance</t>
  </si>
  <si>
    <t>Brattle Proposed NJ BPU rate payer study 3/25/22 Step 1 Key Assumption Scenarios:</t>
  </si>
  <si>
    <t>Ambitious Pathway YOY gas decline 2020 to 2030</t>
  </si>
  <si>
    <t>Assumed years per above statement</t>
  </si>
  <si>
    <t>Est Residential Heating Cumulative Decline MMT Result</t>
  </si>
  <si>
    <t>Assumes 2019 figure as starting point for N years</t>
  </si>
  <si>
    <t>% Ambitious Pathway Decline in MMT</t>
  </si>
  <si>
    <t>Assumed equivalent to extent of Building Electrification needed</t>
  </si>
  <si>
    <t>New York comparison:</t>
  </si>
  <si>
    <t>Note:  Table above  uses conversion to NJ GHG emissions</t>
  </si>
  <si>
    <t>Number of residences sought electrified by 2030</t>
  </si>
  <si>
    <t>https://www.nyserda.ny.gov/About/Newsroom/2022-Announcements/2022-01-05-Governor-Hochul-Announces-Plan-to-Achieve-2-Million-Climate-Friendly-Homes-By-2030</t>
  </si>
  <si>
    <t>NY residences (2020 census)</t>
  </si>
  <si>
    <t>% electrified</t>
  </si>
  <si>
    <t>Massachusetts comparison:</t>
  </si>
  <si>
    <t>https://www.mass.gov/doc/interim-clean-energy-and-climate-plan-for-2030-december-30-2020/download</t>
  </si>
  <si>
    <t xml:space="preserve">Table 1: Range of GHG reductions estimated for the full and timely implementation of strategies and policy actions outlined in the 2030 CECP </t>
  </si>
  <si>
    <t>Note:  This is presumably NOT A GAP, but rather their anticipated plan based on strategies and policy actions</t>
  </si>
  <si>
    <t>2017 Building MMT</t>
  </si>
  <si>
    <t>2030 Building MMT</t>
  </si>
  <si>
    <t>Average Est. BE Mass. MMT reduction per year assumed to apply to 2030</t>
  </si>
  <si>
    <t>Mass population 2020</t>
  </si>
  <si>
    <t>NJ population 2020</t>
  </si>
  <si>
    <t>Est. BE NJ MMT reduction per year adjusted for NJ vs Mass population using Mass basis assumed to apply to 2030</t>
  </si>
  <si>
    <t>Other factors, e.g. relative temperatures between Mass &amp; NJ, are not considered here, nor are economic factors.</t>
  </si>
  <si>
    <t>Est BE MMT reduction achieved in NJ following Mass glide path over span considered above to 2030</t>
  </si>
  <si>
    <t>NOTES:</t>
  </si>
  <si>
    <t>For the purposes of this spreadsheet, Building Electrification percentages are assumed to also apply to the need to convert electrical resistance heated residences to high efficiency heating such as “cold climate” heat pumps.</t>
  </si>
  <si>
    <t>Assumption in above that Energy=Heating, including all forms of heating such as fossil fuel HVAC, dryers, stoves &amp; hot water heaters</t>
  </si>
  <si>
    <t>*Hypothetical Possible Gaps between 50% of 2005 emissions &amp; NJ 2019 EMP Figure 1.2 Reference 2 curve</t>
  </si>
  <si>
    <t>Other gap figures are as eyeballed from NJ 2019 EMP Figure 1.2, with possible increments of 2 MMT</t>
  </si>
  <si>
    <t>This chart is NOT a projection, but rather a comparison tool that could be used to help set BE objectives</t>
  </si>
  <si>
    <t>Because the NJ 2019 EMP states aggressive Building Electrification starts in 2030, thus any meaningful projection based on laws, mandates or rules STARTS at zero in 2030, not some other year.</t>
  </si>
  <si>
    <t>See Page 160 of the 2019 NJ Energy Master Plan re Building Decarbonization (at link further below):</t>
  </si>
  <si>
    <t>“ [certain modeled] scenarios assumed that buildings began to be retrofitted and electrified aggressively starting in 2030, so that 90% of building water and space heating was powered by electricity in 2050.”</t>
  </si>
  <si>
    <t>This chart does not address the considerable NJ “Commercial Energy” (i.e. heating) category.</t>
  </si>
  <si>
    <t>Integrated Energy Plan Least cost column % obtained from page 44 LOW COST residential space heating; see:</t>
  </si>
  <si>
    <t>https://nj.gov/emp/pdf/New_Jersey_2019_IEP_Technical_Appendix.pdf</t>
  </si>
  <si>
    <t>Deflator</t>
  </si>
  <si>
    <t>Years</t>
  </si>
  <si>
    <t>Year</t>
  </si>
  <si>
    <t>End of Year Result</t>
  </si>
  <si>
    <t>Starting Value</t>
  </si>
  <si>
    <t>2020 NJ Energy Management Plan GHG Reduction Chart:</t>
  </si>
  <si>
    <t>https://www.nj.gov/emp/docs/pdf/2020_NJBPU_EMP.pdf</t>
  </si>
  <si>
    <t>2019 Emissions Bar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</si>
</sst>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8">
    <font>
      <sz val="10"/>
      <name val="Arial"/>
      <family val="2"/>
      <charset val="1"/>
    </font>
    <font>
      <sz val="8"/>
      <name val="Arial"/>
      <family val="2"/>
      <charset val="1"/>
    </font>
    <font>
      <b/>
      <sz val="8"/>
      <name val="Arial"/>
      <family val="2"/>
      <charset val="1"/>
    </font>
    <font>
      <sz val="8"/>
      <color rgb="FFC9211E"/>
      <name val="Arial"/>
      <family val="2"/>
      <charset val="1"/>
    </font>
    <font>
      <sz val="8"/>
      <color rgb="FF004371"/>
      <name val="Arial"/>
      <family val="2"/>
      <charset val="1"/>
    </font>
    <font>
      <sz val="9"/>
      <color rgb="FF004371"/>
      <name val="TradeGothicNextSRPro-Cn"/>
      <family val="2"/>
      <charset val="1"/>
    </font>
    <font>
      <sz val="10"/>
      <color rgb="FF0000FF"/>
      <name val="Arial"/>
      <family val="2"/>
      <charset val="1"/>
    </font>
    <font>
      <sz val="8"/>
      <color rgb="FF0000FF"/>
      <name val="Arial"/>
      <family val="2"/>
      <charset val="1"/>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30">
    <xf numFmtId="0" fontId="0" fillId="0" borderId="0" xfId="0"/>
    <xf numFmtId="0" fontId="2" fillId="0" borderId="1" xfId="0" applyFont="1" applyBorder="1" applyAlignment="1">
      <alignment vertical="top" wrapText="1"/>
    </xf>
    <xf numFmtId="164" fontId="2" fillId="0" borderId="1" xfId="0" applyNumberFormat="1" applyFont="1" applyBorder="1" applyAlignment="1">
      <alignment vertical="top" wrapText="1"/>
    </xf>
    <xf numFmtId="0" fontId="1" fillId="0" borderId="0" xfId="0" applyFont="1" applyAlignment="1">
      <alignment vertical="top" wrapText="1"/>
    </xf>
    <xf numFmtId="0" fontId="1" fillId="0" borderId="0" xfId="0" applyFont="1"/>
    <xf numFmtId="0" fontId="1" fillId="0" borderId="1" xfId="0" applyFont="1" applyBorder="1" applyAlignment="1">
      <alignment vertical="top" wrapText="1"/>
    </xf>
    <xf numFmtId="0" fontId="2" fillId="0" borderId="1" xfId="0" applyFont="1" applyBorder="1" applyAlignment="1">
      <alignment vertical="top" wrapText="1"/>
    </xf>
    <xf numFmtId="164" fontId="2" fillId="0" borderId="0" xfId="0" applyNumberFormat="1" applyFont="1"/>
    <xf numFmtId="164" fontId="1" fillId="0" borderId="1" xfId="0" applyNumberFormat="1" applyFont="1" applyBorder="1" applyAlignment="1">
      <alignment vertical="top" wrapText="1"/>
    </xf>
    <xf numFmtId="165" fontId="1" fillId="0" borderId="1" xfId="0" applyNumberFormat="1" applyFont="1" applyBorder="1" applyAlignment="1">
      <alignment vertical="top" wrapText="1"/>
    </xf>
    <xf numFmtId="0" fontId="1" fillId="0" borderId="0" xfId="0" applyFont="1" applyAlignment="1">
      <alignment vertical="top"/>
    </xf>
    <xf numFmtId="164" fontId="3" fillId="0" borderId="1" xfId="0" applyNumberFormat="1" applyFont="1" applyBorder="1" applyAlignment="1">
      <alignment vertical="top"/>
    </xf>
    <xf numFmtId="3" fontId="1" fillId="0" borderId="1" xfId="0" applyNumberFormat="1" applyFont="1" applyBorder="1" applyAlignment="1">
      <alignment vertical="top" wrapText="1"/>
    </xf>
    <xf numFmtId="1" fontId="1" fillId="0" borderId="1" xfId="0" applyNumberFormat="1" applyFont="1" applyBorder="1" applyAlignment="1">
      <alignment vertical="top" wrapText="1"/>
    </xf>
    <xf numFmtId="2" fontId="1" fillId="0" borderId="1" xfId="0" applyNumberFormat="1" applyFont="1" applyBorder="1" applyAlignment="1">
      <alignment vertical="top" wrapText="1"/>
    </xf>
    <xf numFmtId="9" fontId="1" fillId="0" borderId="1" xfId="0" applyNumberFormat="1" applyFont="1" applyBorder="1" applyAlignment="1">
      <alignment vertical="top" wrapText="1"/>
    </xf>
    <xf numFmtId="165" fontId="1" fillId="0" borderId="0" xfId="0" applyNumberFormat="1" applyFont="1" applyAlignment="1">
      <alignment vertical="top" wrapText="1"/>
    </xf>
    <xf numFmtId="0" fontId="1" fillId="0" borderId="1" xfId="0" applyFont="1" applyBorder="1" applyAlignment="1">
      <alignment vertical="top"/>
    </xf>
    <xf numFmtId="165" fontId="1" fillId="0" borderId="0" xfId="0" applyNumberFormat="1" applyFont="1" applyBorder="1" applyAlignment="1">
      <alignment vertical="top"/>
    </xf>
    <xf numFmtId="166" fontId="1" fillId="0" borderId="1" xfId="0" applyNumberFormat="1" applyFont="1" applyBorder="1" applyAlignment="1">
      <alignment vertical="top"/>
    </xf>
    <xf numFmtId="0" fontId="4" fillId="0" borderId="0" xfId="0" applyFont="1" applyAlignment="1">
      <alignment vertical="top"/>
    </xf>
    <xf numFmtId="0" fontId="4" fillId="0" borderId="0" xfId="0" applyFont="1"/>
    <xf numFmtId="0" fontId="6" fillId="0" borderId="0" xfId="0" applyFont="1" applyAlignment="1"/>
    <xf numFmtId="0" fontId="7" fillId="0" borderId="1" xfId="0" applyFont="1" applyBorder="1" applyAlignment="1">
      <alignment vertical="top"/>
    </xf>
    <xf numFmtId="2" fontId="1" fillId="0" borderId="1" xfId="0" applyNumberFormat="1" applyFont="1" applyBorder="1" applyAlignment="1">
      <alignment vertical="top"/>
    </xf>
    <xf numFmtId="0" fontId="1" fillId="0" borderId="0" xfId="0" applyFont="1" applyAlignment="1"/>
    <xf numFmtId="164" fontId="0" fillId="0" borderId="0" xfId="0" applyNumberFormat="1"/>
    <xf numFmtId="0" fontId="0" fillId="0" borderId="0" xfId="0"/>
    <xf numFmtId="2" fontId="0" fillId="0" borderId="0" xfId="0" applyNumberFormat="1"/>
    <xf numFmtId="167" fontId="0" fillId="0" borderId="0" xfId="0" applyNumberForma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4371"/>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38</xdr:row>
      <xdr:rowOff>107280</xdr:rowOff>
    </xdr:from>
    <xdr:to>
      <xdr:col>10</xdr:col>
      <xdr:colOff>281520</xdr:colOff>
      <xdr:row>72</xdr:row>
      <xdr:rowOff>127800</xdr:rowOff>
    </xdr:to>
    <xdr:pic>
      <xdr:nvPicPr>
        <xdr:cNvPr id="2" name="Imag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a:xfrm>
          <a:off x="0" y="6284520"/>
          <a:ext cx="9069840" cy="5547600"/>
        </a:xfrm>
        <a:prstGeom prst="rect">
          <a:avLst/>
        </a:prstGeom>
        <a:ln w="0">
          <a:noFill/>
        </a:ln>
      </xdr:spPr>
    </xdr:pic>
    <xdr:clientData/>
  </xdr:twoCellAnchor>
  <xdr:twoCellAnchor editAs="absolute">
    <xdr:from>
      <xdr:col>0</xdr:col>
      <xdr:colOff>14040</xdr:colOff>
      <xdr:row>2</xdr:row>
      <xdr:rowOff>141120</xdr:rowOff>
    </xdr:from>
    <xdr:to>
      <xdr:col>10</xdr:col>
      <xdr:colOff>348480</xdr:colOff>
      <xdr:row>33</xdr:row>
      <xdr:rowOff>149040</xdr:rowOff>
    </xdr:to>
    <xdr:pic>
      <xdr:nvPicPr>
        <xdr:cNvPr id="3" name="Imag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a:stretch/>
      </xdr:blipFill>
      <xdr:spPr>
        <a:xfrm>
          <a:off x="14040" y="466200"/>
          <a:ext cx="9122760" cy="50472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27720</xdr:colOff>
      <xdr:row>4</xdr:row>
      <xdr:rowOff>99000</xdr:rowOff>
    </xdr:from>
    <xdr:to>
      <xdr:col>13</xdr:col>
      <xdr:colOff>182880</xdr:colOff>
      <xdr:row>44</xdr:row>
      <xdr:rowOff>7920</xdr:rowOff>
    </xdr:to>
    <xdr:pic>
      <xdr:nvPicPr>
        <xdr:cNvPr id="2" name="Image 3">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27720" y="749160"/>
          <a:ext cx="10969200" cy="64112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mass.gov/doc/interim-clean-energy-and-climate-plan-for-2030-december-30-2020/download" TargetMode="External"/><Relationship Id="rId2" Type="http://schemas.openxmlformats.org/officeDocument/2006/relationships/hyperlink" Target="https://www.eia.gov/state/?sid=NJ" TargetMode="External"/><Relationship Id="rId1" Type="http://schemas.openxmlformats.org/officeDocument/2006/relationships/hyperlink" Target="https://acadiacenter.org/resource/the-future-is-electric/"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A47"/>
  <sheetViews>
    <sheetView zoomScale="90" zoomScaleNormal="90" workbookViewId="0">
      <selection activeCell="E24" sqref="E24"/>
    </sheetView>
  </sheetViews>
  <sheetFormatPr defaultColWidth="11.5703125" defaultRowHeight="12.75"/>
  <cols>
    <col min="1" max="1" width="24" style="3" customWidth="1"/>
    <col min="2" max="2" width="7.85546875" style="3" customWidth="1"/>
    <col min="3" max="3" width="7.7109375" style="3" customWidth="1"/>
    <col min="4" max="4" width="7.85546875" style="3" customWidth="1"/>
    <col min="5" max="5" width="10" style="3" customWidth="1"/>
    <col min="6" max="6" width="7.28515625" style="3" customWidth="1"/>
    <col min="7" max="1015" width="11.5703125" style="4"/>
  </cols>
  <sheetData>
    <row r="1" spans="1:7" ht="67.5">
      <c r="A1" s="5" t="s">
        <v>0</v>
      </c>
      <c r="B1" s="5" t="s">
        <v>1</v>
      </c>
      <c r="C1" s="5" t="s">
        <v>2</v>
      </c>
      <c r="D1" s="5" t="s">
        <v>3</v>
      </c>
      <c r="E1" s="5" t="s">
        <v>4</v>
      </c>
      <c r="F1" s="5" t="s">
        <v>5</v>
      </c>
      <c r="G1"/>
    </row>
    <row r="2" spans="1:7">
      <c r="A2" s="5"/>
      <c r="B2" s="5"/>
      <c r="C2" s="5"/>
      <c r="D2" s="5"/>
      <c r="E2" s="5"/>
      <c r="F2" s="5"/>
    </row>
    <row r="3" spans="1:7">
      <c r="A3" s="6" t="s">
        <v>6</v>
      </c>
      <c r="B3" s="5"/>
      <c r="C3" s="7">
        <f>SUM(B4:B6)/$B$39</f>
        <v>0.28922495274102084</v>
      </c>
      <c r="D3" s="5"/>
      <c r="E3" s="5"/>
      <c r="F3" s="5"/>
    </row>
    <row r="4" spans="1:7">
      <c r="A4" s="5" t="s">
        <v>7</v>
      </c>
      <c r="B4" s="5">
        <v>10.8</v>
      </c>
      <c r="C4" s="8">
        <f>B4/$B$39</f>
        <v>0.10207939508506618</v>
      </c>
      <c r="D4" s="8">
        <f>C4</f>
        <v>0.10207939508506618</v>
      </c>
      <c r="E4" s="5">
        <f>B4</f>
        <v>10.8</v>
      </c>
      <c r="F4" s="8">
        <f>D4/$D$39</f>
        <v>0.13090909090909092</v>
      </c>
    </row>
    <row r="5" spans="1:7">
      <c r="A5" s="5" t="s">
        <v>8</v>
      </c>
      <c r="B5" s="5">
        <v>5.2</v>
      </c>
      <c r="C5" s="8"/>
      <c r="D5" s="8"/>
      <c r="E5" s="5"/>
      <c r="F5" s="8"/>
    </row>
    <row r="6" spans="1:7">
      <c r="A6" s="5" t="s">
        <v>9</v>
      </c>
      <c r="B6" s="5">
        <v>14.6</v>
      </c>
      <c r="C6" s="8">
        <f>B6/$B$39</f>
        <v>0.13799621928166353</v>
      </c>
      <c r="D6" s="8">
        <f>C6</f>
        <v>0.13799621928166353</v>
      </c>
      <c r="E6" s="5">
        <f>B6</f>
        <v>14.6</v>
      </c>
      <c r="F6" s="8">
        <f>D6/$D$39</f>
        <v>0.17696969696969697</v>
      </c>
    </row>
    <row r="7" spans="1:7">
      <c r="A7" s="5"/>
      <c r="B7" s="5"/>
      <c r="C7" s="5"/>
      <c r="D7" s="5"/>
      <c r="E7" s="5"/>
      <c r="F7" s="5"/>
    </row>
    <row r="8" spans="1:7">
      <c r="A8" s="6" t="s">
        <v>10</v>
      </c>
      <c r="B8" s="5"/>
      <c r="C8" s="7">
        <f>SUM(B9:B13)/$B$39</f>
        <v>0.37807183364839325</v>
      </c>
      <c r="D8" s="5"/>
      <c r="E8" s="5"/>
      <c r="F8" s="5"/>
    </row>
    <row r="9" spans="1:7">
      <c r="A9" s="5" t="s">
        <v>11</v>
      </c>
      <c r="B9" s="5">
        <v>28.6</v>
      </c>
      <c r="C9" s="8">
        <f>B9/$B$39</f>
        <v>0.27032136105860122</v>
      </c>
      <c r="D9" s="8">
        <f>C9</f>
        <v>0.27032136105860122</v>
      </c>
      <c r="E9" s="5">
        <f>B9</f>
        <v>28.6</v>
      </c>
      <c r="F9" s="8">
        <f>D9/$D$39</f>
        <v>0.34666666666666673</v>
      </c>
    </row>
    <row r="10" spans="1:7">
      <c r="A10" s="5" t="s">
        <v>12</v>
      </c>
      <c r="B10" s="5">
        <v>8</v>
      </c>
      <c r="C10" s="8">
        <f>B10/$B$39</f>
        <v>7.5614366729678653E-2</v>
      </c>
      <c r="D10" s="8">
        <f>C10</f>
        <v>7.5614366729678653E-2</v>
      </c>
      <c r="E10" s="5">
        <f>B10</f>
        <v>8</v>
      </c>
      <c r="F10" s="8">
        <f>D10/$D$39</f>
        <v>9.696969696969697E-2</v>
      </c>
    </row>
    <row r="11" spans="1:7">
      <c r="A11" s="5" t="s">
        <v>13</v>
      </c>
      <c r="B11" s="5">
        <v>1</v>
      </c>
      <c r="C11" s="8">
        <f>B11/$B$39</f>
        <v>9.4517958412098316E-3</v>
      </c>
      <c r="D11" s="5"/>
      <c r="E11" s="5"/>
      <c r="F11" s="5"/>
    </row>
    <row r="12" spans="1:7">
      <c r="A12" s="5" t="s">
        <v>14</v>
      </c>
      <c r="B12" s="5">
        <v>2.1</v>
      </c>
      <c r="C12" s="8">
        <f>B12/$B$39</f>
        <v>1.9848771266540648E-2</v>
      </c>
      <c r="D12" s="8">
        <f>C12</f>
        <v>1.9848771266540648E-2</v>
      </c>
      <c r="E12" s="8">
        <f>D12</f>
        <v>1.9848771266540648E-2</v>
      </c>
      <c r="F12" s="8">
        <f>E12</f>
        <v>1.9848771266540648E-2</v>
      </c>
    </row>
    <row r="13" spans="1:7">
      <c r="A13" s="5" t="s">
        <v>15</v>
      </c>
      <c r="B13" s="5">
        <v>0.3</v>
      </c>
      <c r="C13" s="8">
        <f>B13/$B$39</f>
        <v>2.8355387523629491E-3</v>
      </c>
      <c r="D13" s="5"/>
      <c r="E13" s="5"/>
      <c r="F13" s="5"/>
    </row>
    <row r="14" spans="1:7">
      <c r="A14" s="5"/>
      <c r="B14" s="5"/>
      <c r="C14" s="5"/>
      <c r="D14" s="5"/>
      <c r="E14" s="5"/>
      <c r="F14" s="5"/>
    </row>
    <row r="15" spans="1:7">
      <c r="A15" s="6" t="s">
        <v>16</v>
      </c>
      <c r="B15" s="5"/>
      <c r="C15" s="7">
        <f>SUM(B16:B19)/$B$39</f>
        <v>0.1814744801512288</v>
      </c>
      <c r="D15" s="5"/>
      <c r="E15" s="5"/>
      <c r="F15" s="5"/>
    </row>
    <row r="16" spans="1:7">
      <c r="A16" s="5" t="s">
        <v>17</v>
      </c>
      <c r="B16" s="5">
        <v>17.3</v>
      </c>
      <c r="C16" s="8">
        <f>B16/$B$39</f>
        <v>0.16351606805293009</v>
      </c>
      <c r="D16" s="8">
        <f>C16</f>
        <v>0.16351606805293009</v>
      </c>
      <c r="E16" s="5">
        <f>B16</f>
        <v>17.3</v>
      </c>
      <c r="F16" s="8">
        <f>D16/$D$39</f>
        <v>0.20969696969696972</v>
      </c>
    </row>
    <row r="17" spans="1:7">
      <c r="A17" s="5" t="s">
        <v>18</v>
      </c>
      <c r="B17" s="5">
        <v>1.1000000000000001</v>
      </c>
      <c r="C17" s="8">
        <f>B17/$B$39</f>
        <v>1.0396975425330815E-2</v>
      </c>
      <c r="D17" s="8">
        <f>C17</f>
        <v>1.0396975425330815E-2</v>
      </c>
      <c r="E17" s="5">
        <f>B17</f>
        <v>1.1000000000000001</v>
      </c>
      <c r="F17" s="8">
        <f>D17/$D$39</f>
        <v>1.3333333333333334E-2</v>
      </c>
    </row>
    <row r="18" spans="1:7">
      <c r="A18" s="5" t="s">
        <v>19</v>
      </c>
      <c r="B18" s="5">
        <v>0.8</v>
      </c>
      <c r="C18" s="8">
        <f>B18/$B$39</f>
        <v>7.5614366729678658E-3</v>
      </c>
      <c r="D18" s="5"/>
      <c r="E18" s="5"/>
      <c r="F18" s="5"/>
    </row>
    <row r="19" spans="1:7" ht="32.85" customHeight="1">
      <c r="A19" s="5" t="s">
        <v>20</v>
      </c>
      <c r="B19" s="5"/>
      <c r="C19" s="8"/>
      <c r="D19" s="5"/>
      <c r="E19" s="5"/>
      <c r="F19" s="5"/>
    </row>
    <row r="20" spans="1:7">
      <c r="A20" s="5"/>
      <c r="B20" s="5"/>
      <c r="C20" s="5"/>
      <c r="D20" s="5"/>
      <c r="E20" s="5"/>
      <c r="F20" s="5"/>
    </row>
    <row r="21" spans="1:7">
      <c r="A21" s="6" t="s">
        <v>21</v>
      </c>
      <c r="B21" s="5"/>
      <c r="C21" s="7">
        <f>SUM(B22:B25)/$B$39</f>
        <v>7.4669187145557661E-2</v>
      </c>
      <c r="D21" s="5"/>
      <c r="E21" s="5"/>
      <c r="F21" s="5"/>
    </row>
    <row r="22" spans="1:7">
      <c r="A22" s="5" t="s">
        <v>22</v>
      </c>
      <c r="B22" s="5">
        <v>5.2</v>
      </c>
      <c r="C22" s="8">
        <f>B22/$B$39</f>
        <v>4.9149338374291127E-2</v>
      </c>
      <c r="D22" s="5"/>
      <c r="E22" s="5"/>
      <c r="F22" s="5"/>
    </row>
    <row r="23" spans="1:7">
      <c r="A23" s="5" t="s">
        <v>23</v>
      </c>
      <c r="B23" s="5">
        <v>0.1</v>
      </c>
      <c r="C23" s="8">
        <f>B23/$B$39</f>
        <v>9.4517958412098323E-4</v>
      </c>
      <c r="D23" s="5"/>
      <c r="E23" s="5"/>
      <c r="F23" s="5"/>
    </row>
    <row r="24" spans="1:7">
      <c r="A24" s="5" t="s">
        <v>24</v>
      </c>
      <c r="B24" s="5">
        <v>0.3</v>
      </c>
      <c r="C24" s="8">
        <f>B24/$B$39</f>
        <v>2.8355387523629491E-3</v>
      </c>
      <c r="D24" s="5"/>
      <c r="E24" s="5"/>
      <c r="F24" s="5"/>
    </row>
    <row r="25" spans="1:7" ht="22.5">
      <c r="A25" s="5" t="s">
        <v>25</v>
      </c>
      <c r="B25" s="5">
        <v>2.2999999999999998</v>
      </c>
      <c r="C25" s="8">
        <f>B25/$B$39</f>
        <v>2.1739130434782612E-2</v>
      </c>
      <c r="D25" s="5"/>
      <c r="E25" s="5"/>
      <c r="F25" s="5"/>
    </row>
    <row r="26" spans="1:7">
      <c r="A26" s="5"/>
      <c r="B26" s="5"/>
      <c r="C26" s="5"/>
      <c r="D26" s="5"/>
      <c r="E26" s="5"/>
      <c r="F26" s="5"/>
    </row>
    <row r="27" spans="1:7">
      <c r="A27" s="6" t="s">
        <v>26</v>
      </c>
      <c r="B27" s="5"/>
      <c r="C27" s="7">
        <f>SUM(B28:B30)/$B$39</f>
        <v>5.4820415879017023E-2</v>
      </c>
      <c r="D27" s="5"/>
      <c r="E27" s="5"/>
      <c r="F27" s="5"/>
      <c r="G27"/>
    </row>
    <row r="28" spans="1:7">
      <c r="A28" s="5" t="s">
        <v>27</v>
      </c>
      <c r="B28" s="5">
        <v>3.4</v>
      </c>
      <c r="C28" s="8">
        <f>B28/$B$39</f>
        <v>3.2136105860113423E-2</v>
      </c>
      <c r="D28" s="5"/>
      <c r="E28" s="5"/>
      <c r="F28" s="5"/>
    </row>
    <row r="29" spans="1:7">
      <c r="A29" s="5" t="s">
        <v>28</v>
      </c>
      <c r="B29" s="5">
        <v>2.2000000000000002</v>
      </c>
      <c r="C29" s="8">
        <f>B29/$B$39</f>
        <v>2.079395085066163E-2</v>
      </c>
      <c r="D29" s="5"/>
      <c r="E29" s="5"/>
      <c r="F29" s="5"/>
    </row>
    <row r="30" spans="1:7">
      <c r="A30" s="5" t="s">
        <v>29</v>
      </c>
      <c r="B30" s="5">
        <v>0.2</v>
      </c>
      <c r="C30" s="8">
        <f>B30/$B$39</f>
        <v>1.8903591682419665E-3</v>
      </c>
      <c r="D30" s="5"/>
      <c r="E30" s="5"/>
      <c r="F30" s="5"/>
    </row>
    <row r="31" spans="1:7">
      <c r="A31" s="5"/>
      <c r="B31" s="5"/>
      <c r="C31" s="5"/>
      <c r="D31" s="5"/>
      <c r="E31" s="5"/>
      <c r="F31" s="5"/>
    </row>
    <row r="32" spans="1:7">
      <c r="A32" s="6" t="s">
        <v>30</v>
      </c>
      <c r="B32" s="5"/>
      <c r="C32" s="7">
        <f>SUM(B33:B37)/$B$39</f>
        <v>2.1739130434782612E-2</v>
      </c>
      <c r="D32" s="5"/>
      <c r="E32" s="5"/>
      <c r="F32" s="5"/>
    </row>
    <row r="33" spans="1:6" ht="22.5">
      <c r="A33" s="5" t="s">
        <v>31</v>
      </c>
      <c r="B33" s="5">
        <v>1</v>
      </c>
      <c r="C33" s="8">
        <f>B33/$B$39</f>
        <v>9.4517958412098316E-3</v>
      </c>
      <c r="D33" s="5"/>
      <c r="E33" s="5"/>
      <c r="F33" s="5"/>
    </row>
    <row r="34" spans="1:6">
      <c r="A34" s="5"/>
      <c r="B34" s="5"/>
      <c r="C34" s="8">
        <f>B34/$B$39</f>
        <v>0</v>
      </c>
      <c r="D34" s="5"/>
      <c r="E34" s="5"/>
      <c r="F34" s="5"/>
    </row>
    <row r="35" spans="1:6">
      <c r="A35" s="5" t="s">
        <v>32</v>
      </c>
      <c r="B35" s="5">
        <v>1</v>
      </c>
      <c r="C35" s="8">
        <f>B35/$B$39</f>
        <v>9.4517958412098316E-3</v>
      </c>
      <c r="D35" s="5"/>
      <c r="E35" s="5"/>
      <c r="F35" s="5"/>
    </row>
    <row r="36" spans="1:6">
      <c r="A36" s="5"/>
      <c r="B36" s="5"/>
      <c r="C36" s="8">
        <f>B36/$B$39</f>
        <v>0</v>
      </c>
      <c r="D36" s="5"/>
      <c r="E36" s="5"/>
      <c r="F36" s="5"/>
    </row>
    <row r="37" spans="1:6" ht="22.7" customHeight="1">
      <c r="A37" s="5" t="s">
        <v>33</v>
      </c>
      <c r="B37" s="5">
        <v>0.3</v>
      </c>
      <c r="C37" s="8">
        <f>B37/$B$39</f>
        <v>2.8355387523629491E-3</v>
      </c>
      <c r="D37" s="5"/>
      <c r="E37" s="5"/>
      <c r="F37" s="5"/>
    </row>
    <row r="38" spans="1:6">
      <c r="A38" s="5"/>
      <c r="B38" s="5"/>
      <c r="C38" s="5"/>
      <c r="D38" s="5"/>
      <c r="E38" s="5"/>
      <c r="F38" s="5"/>
    </row>
    <row r="39" spans="1:6">
      <c r="A39" s="5" t="s">
        <v>34</v>
      </c>
      <c r="B39" s="5">
        <f>SUM(B4:B37)</f>
        <v>105.79999999999998</v>
      </c>
      <c r="C39" s="5"/>
      <c r="D39" s="8">
        <f>SUM(D4:D37)</f>
        <v>0.77977315689981108</v>
      </c>
      <c r="E39" s="9">
        <f>SUM(E4:E37)</f>
        <v>80.41984877126653</v>
      </c>
      <c r="F39" s="8">
        <f>SUM(F4:F37)</f>
        <v>0.9943942258119951</v>
      </c>
    </row>
    <row r="40" spans="1:6">
      <c r="A40" s="5" t="s">
        <v>35</v>
      </c>
      <c r="B40" s="5">
        <v>-8.1</v>
      </c>
      <c r="C40" s="8">
        <f>B40/$B$39</f>
        <v>-7.6559546313799631E-2</v>
      </c>
      <c r="D40" s="5"/>
      <c r="E40" s="5"/>
      <c r="F40" s="5"/>
    </row>
    <row r="41" spans="1:6">
      <c r="A41" s="5" t="s">
        <v>36</v>
      </c>
      <c r="B41" s="5">
        <f>B39+B40</f>
        <v>97.699999999999989</v>
      </c>
      <c r="C41" s="8"/>
      <c r="D41" s="5"/>
      <c r="E41" s="5"/>
      <c r="F41" s="5"/>
    </row>
    <row r="43" spans="1:6">
      <c r="A43" s="3" t="s">
        <v>37</v>
      </c>
      <c r="B43" s="10" t="s">
        <v>38</v>
      </c>
    </row>
    <row r="44" spans="1:6">
      <c r="B44" s="10"/>
    </row>
    <row r="45" spans="1:6">
      <c r="B45" s="10"/>
    </row>
    <row r="46" spans="1:6">
      <c r="A46"/>
      <c r="B46" s="10"/>
    </row>
    <row r="47" spans="1:6">
      <c r="B47" s="10"/>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I88"/>
  <sheetViews>
    <sheetView tabSelected="1" zoomScaleNormal="100" workbookViewId="0">
      <selection activeCell="J2" sqref="J2"/>
    </sheetView>
  </sheetViews>
  <sheetFormatPr defaultColWidth="11.5703125" defaultRowHeight="12.75"/>
  <cols>
    <col min="1" max="1" width="16.5703125" style="3" customWidth="1"/>
    <col min="2" max="2" width="10.85546875" style="3" customWidth="1"/>
    <col min="3" max="3" width="6.85546875" style="3" customWidth="1"/>
    <col min="4" max="4" width="8.7109375" style="3" customWidth="1"/>
    <col min="5" max="5" width="7" style="3" customWidth="1"/>
    <col min="6" max="6" width="9.5703125" style="3" customWidth="1"/>
    <col min="7" max="8" width="7" style="3" customWidth="1"/>
    <col min="9" max="12" width="7.42578125" style="3" customWidth="1"/>
    <col min="13" max="13" width="8.5703125" style="3" customWidth="1"/>
    <col min="14" max="14" width="9.140625" style="4" customWidth="1"/>
    <col min="15" max="1023" width="11.5703125" style="4"/>
  </cols>
  <sheetData>
    <row r="1" spans="1:14" ht="12.75" customHeight="1">
      <c r="A1" s="5"/>
      <c r="B1" s="11" t="s">
        <v>39</v>
      </c>
      <c r="C1" s="8"/>
      <c r="D1" s="8"/>
      <c r="E1" s="8"/>
      <c r="F1" s="8"/>
      <c r="G1" s="8"/>
      <c r="H1" s="8"/>
      <c r="I1" s="8"/>
      <c r="J1" s="8"/>
      <c r="K1" s="8"/>
      <c r="L1" s="8"/>
      <c r="M1" s="8"/>
      <c r="N1" s="8"/>
    </row>
    <row r="2" spans="1:14" ht="69.2" customHeight="1">
      <c r="A2" s="5" t="s">
        <v>40</v>
      </c>
      <c r="B2" s="8" t="s">
        <v>41</v>
      </c>
      <c r="C2" s="8" t="s">
        <v>42</v>
      </c>
      <c r="D2" s="8" t="s">
        <v>43</v>
      </c>
      <c r="E2" s="8" t="s">
        <v>44</v>
      </c>
      <c r="F2" s="8" t="s">
        <v>45</v>
      </c>
      <c r="G2" s="8" t="s">
        <v>46</v>
      </c>
      <c r="H2" s="8" t="s">
        <v>42</v>
      </c>
      <c r="I2" s="8" t="s">
        <v>47</v>
      </c>
      <c r="J2" s="8" t="s">
        <v>48</v>
      </c>
      <c r="K2" s="8" t="s">
        <v>49</v>
      </c>
      <c r="L2" s="8" t="s">
        <v>42</v>
      </c>
      <c r="M2" s="8" t="s">
        <v>50</v>
      </c>
      <c r="N2" s="8" t="s">
        <v>51</v>
      </c>
    </row>
    <row r="3" spans="1:14" ht="29.1" customHeight="1">
      <c r="A3" s="5" t="str">
        <f>CONCATENATE("Building Electrification Percentage in Target Year: ", B21)</f>
        <v>Building Electrification Percentage in Target Year: 2030</v>
      </c>
      <c r="B3" s="8">
        <v>0</v>
      </c>
      <c r="C3" s="8">
        <v>0.1</v>
      </c>
      <c r="D3" s="8">
        <f>B62</f>
        <v>0.11781218993304261</v>
      </c>
      <c r="E3" s="8">
        <f>E16/$B$38</f>
        <v>0.1329352719549913</v>
      </c>
      <c r="F3" s="8">
        <v>0.21</v>
      </c>
      <c r="G3" s="8">
        <f>B50</f>
        <v>0.23564000000000002</v>
      </c>
      <c r="H3" s="8">
        <v>0.25</v>
      </c>
      <c r="I3" s="8">
        <f>B56</f>
        <v>0.26257587310507174</v>
      </c>
      <c r="J3" s="8">
        <f>J16/$B$38</f>
        <v>0.2658705439099826</v>
      </c>
      <c r="K3" s="8">
        <f>K16/$B$38</f>
        <v>0.28928571428571431</v>
      </c>
      <c r="L3" s="8">
        <v>0.5</v>
      </c>
      <c r="M3" s="8">
        <f>M7/$B$20</f>
        <v>0.60476026533976568</v>
      </c>
      <c r="N3" s="8">
        <v>0.9</v>
      </c>
    </row>
    <row r="4" spans="1:14" ht="14.85" customHeight="1">
      <c r="A4" s="5"/>
      <c r="B4" s="2" t="s">
        <v>52</v>
      </c>
      <c r="C4" s="2"/>
      <c r="D4" s="2"/>
      <c r="E4" s="2"/>
      <c r="F4" s="2"/>
      <c r="G4" s="2"/>
      <c r="H4" s="2"/>
      <c r="I4" s="2"/>
      <c r="J4" s="2"/>
      <c r="K4" s="2"/>
      <c r="L4" s="2"/>
      <c r="M4" s="2"/>
      <c r="N4" s="2"/>
    </row>
    <row r="5" spans="1:14" ht="32.85" customHeight="1">
      <c r="A5" s="5" t="s">
        <v>53</v>
      </c>
      <c r="B5" s="9">
        <f>$B$3*$B$20</f>
        <v>0</v>
      </c>
      <c r="C5" s="9">
        <f>$C$3*$B$20</f>
        <v>1.4500000000000002</v>
      </c>
      <c r="D5" s="9">
        <f>$D$3*$B$20</f>
        <v>1.7082767540291179</v>
      </c>
      <c r="E5" s="9">
        <f>$E$3*$B$20</f>
        <v>1.9275614433473738</v>
      </c>
      <c r="F5" s="9">
        <f>$F$3*$B$20</f>
        <v>3.0449999999999999</v>
      </c>
      <c r="G5" s="9">
        <f>$G$3*$B$20</f>
        <v>3.4167800000000002</v>
      </c>
      <c r="H5" s="9">
        <f>$H$3*$B$20</f>
        <v>3.625</v>
      </c>
      <c r="I5" s="9">
        <f>$I$3*$B$20</f>
        <v>3.8073501600235402</v>
      </c>
      <c r="J5" s="9">
        <f>$J$3*$B$20</f>
        <v>3.8551228866947476</v>
      </c>
      <c r="K5" s="9">
        <f>$K$3*$B$20</f>
        <v>4.1946428571428571</v>
      </c>
      <c r="L5" s="9">
        <f>$L$3*$B$20</f>
        <v>7.25</v>
      </c>
      <c r="M5" s="9" t="s">
        <v>54</v>
      </c>
      <c r="N5" s="9">
        <f>$N$3*$B$20</f>
        <v>13.05</v>
      </c>
    </row>
    <row r="6" spans="1:14" ht="35.1" customHeight="1">
      <c r="A6" s="5" t="s">
        <v>55</v>
      </c>
      <c r="B6" s="9">
        <f t="shared" ref="B6:L6" si="0">B5/$B$37</f>
        <v>0</v>
      </c>
      <c r="C6" s="9">
        <f t="shared" si="0"/>
        <v>0.35108958837772403</v>
      </c>
      <c r="D6" s="9">
        <f t="shared" si="0"/>
        <v>0.41362633269470167</v>
      </c>
      <c r="E6" s="9">
        <f t="shared" si="0"/>
        <v>0.46672189911558687</v>
      </c>
      <c r="F6" s="9">
        <f t="shared" si="0"/>
        <v>0.73728813559322037</v>
      </c>
      <c r="G6" s="9">
        <f t="shared" si="0"/>
        <v>0.82730750605326886</v>
      </c>
      <c r="H6" s="9">
        <f t="shared" si="0"/>
        <v>0.87772397094430998</v>
      </c>
      <c r="I6" s="9">
        <f t="shared" si="0"/>
        <v>0.92187655206381125</v>
      </c>
      <c r="J6" s="9">
        <f t="shared" si="0"/>
        <v>0.93344379823117374</v>
      </c>
      <c r="K6" s="9">
        <f t="shared" si="0"/>
        <v>1.0156520235212729</v>
      </c>
      <c r="L6" s="9">
        <f t="shared" si="0"/>
        <v>1.75544794188862</v>
      </c>
      <c r="M6" s="9" t="s">
        <v>54</v>
      </c>
      <c r="N6" s="9">
        <f>N5/$B$37</f>
        <v>3.1598062953995161</v>
      </c>
    </row>
    <row r="7" spans="1:14" ht="24.6" customHeight="1">
      <c r="A7" s="5" t="s">
        <v>56</v>
      </c>
      <c r="B7" s="9">
        <f t="shared" ref="B7:L7" si="1">B5-B6</f>
        <v>0</v>
      </c>
      <c r="C7" s="9">
        <f t="shared" si="1"/>
        <v>1.0989104116222761</v>
      </c>
      <c r="D7" s="9">
        <f t="shared" si="1"/>
        <v>1.2946504213344163</v>
      </c>
      <c r="E7" s="9">
        <f t="shared" si="1"/>
        <v>1.460839544231787</v>
      </c>
      <c r="F7" s="9">
        <f t="shared" si="1"/>
        <v>2.3077118644067793</v>
      </c>
      <c r="G7" s="9">
        <f t="shared" si="1"/>
        <v>2.5894724939467313</v>
      </c>
      <c r="H7" s="9">
        <f t="shared" si="1"/>
        <v>2.7472760290556901</v>
      </c>
      <c r="I7" s="9">
        <f t="shared" si="1"/>
        <v>2.885473607959729</v>
      </c>
      <c r="J7" s="9">
        <f t="shared" si="1"/>
        <v>2.9216790884635739</v>
      </c>
      <c r="K7" s="9">
        <f t="shared" si="1"/>
        <v>3.178990833621584</v>
      </c>
      <c r="L7" s="9">
        <f t="shared" si="1"/>
        <v>5.4945520581113803</v>
      </c>
      <c r="M7" s="9">
        <f>B75</f>
        <v>8.7690238474266025</v>
      </c>
      <c r="N7" s="9">
        <f>N5-N6</f>
        <v>9.8901937046004846</v>
      </c>
    </row>
    <row r="8" spans="1:14" ht="24.6" customHeight="1">
      <c r="A8" s="5" t="s">
        <v>57</v>
      </c>
      <c r="B8" s="8">
        <f t="shared" ref="B8:N8" si="2">B7/$B$20</f>
        <v>0</v>
      </c>
      <c r="C8" s="8">
        <f t="shared" si="2"/>
        <v>7.5786924939467315E-2</v>
      </c>
      <c r="D8" s="8">
        <f t="shared" si="2"/>
        <v>8.9286235954097681E-2</v>
      </c>
      <c r="E8" s="8">
        <f t="shared" si="2"/>
        <v>0.10074755477460599</v>
      </c>
      <c r="F8" s="8">
        <f t="shared" si="2"/>
        <v>0.15915254237288134</v>
      </c>
      <c r="G8" s="8">
        <f t="shared" si="2"/>
        <v>0.17858430992736077</v>
      </c>
      <c r="H8" s="8">
        <f t="shared" si="2"/>
        <v>0.18946731234866829</v>
      </c>
      <c r="I8" s="8">
        <f t="shared" si="2"/>
        <v>0.19899817985929166</v>
      </c>
      <c r="J8" s="8">
        <f t="shared" si="2"/>
        <v>0.20149510954921199</v>
      </c>
      <c r="K8" s="8">
        <f t="shared" si="2"/>
        <v>0.21924074714631614</v>
      </c>
      <c r="L8" s="8">
        <f t="shared" si="2"/>
        <v>0.37893462469733658</v>
      </c>
      <c r="M8" s="8">
        <f t="shared" si="2"/>
        <v>0.60476026533976568</v>
      </c>
      <c r="N8" s="8">
        <f t="shared" si="2"/>
        <v>0.68208232445520589</v>
      </c>
    </row>
    <row r="9" spans="1:14" ht="10.9" customHeight="1">
      <c r="A9" s="5"/>
      <c r="B9" s="5"/>
      <c r="C9" s="9"/>
      <c r="D9" s="9"/>
      <c r="E9" s="9"/>
      <c r="F9" s="9"/>
      <c r="G9" s="9"/>
      <c r="H9" s="9"/>
      <c r="I9" s="9"/>
      <c r="J9" s="9"/>
      <c r="K9" s="9"/>
      <c r="L9" s="9"/>
      <c r="M9" s="9"/>
      <c r="N9" s="9"/>
    </row>
    <row r="10" spans="1:14" ht="41.1" customHeight="1">
      <c r="A10" s="5" t="s">
        <v>58</v>
      </c>
      <c r="B10" s="1" t="s">
        <v>59</v>
      </c>
      <c r="C10" s="1"/>
      <c r="D10" s="1"/>
      <c r="E10" s="1"/>
      <c r="F10" s="1"/>
      <c r="G10" s="1"/>
      <c r="H10" s="1"/>
      <c r="I10" s="1"/>
      <c r="J10" s="1"/>
      <c r="K10" s="1"/>
      <c r="L10" s="1"/>
      <c r="M10" s="1"/>
      <c r="N10" s="1"/>
    </row>
    <row r="11" spans="1:14">
      <c r="A11" s="5">
        <v>8</v>
      </c>
      <c r="B11" s="8">
        <f>$B$7/A11</f>
        <v>0</v>
      </c>
      <c r="C11" s="8">
        <f>$C$7/A11</f>
        <v>0.13736380145278451</v>
      </c>
      <c r="D11" s="8">
        <f>$D$7/A11</f>
        <v>0.16183130266680204</v>
      </c>
      <c r="E11" s="8">
        <f>$E$7/A11</f>
        <v>0.18260494302897337</v>
      </c>
      <c r="F11" s="8">
        <f>$F$7/A11</f>
        <v>0.28846398305084742</v>
      </c>
      <c r="G11" s="8">
        <f>$G$7/A11</f>
        <v>0.32368406174334141</v>
      </c>
      <c r="H11" s="8">
        <f>$H$7/A11</f>
        <v>0.34340950363196127</v>
      </c>
      <c r="I11" s="8">
        <f>$I$7/A11</f>
        <v>0.36068420099496612</v>
      </c>
      <c r="J11" s="8">
        <f>$J$7/A11</f>
        <v>0.36520988605794674</v>
      </c>
      <c r="K11" s="8">
        <f>$K$7/A11</f>
        <v>0.397373854202698</v>
      </c>
      <c r="L11" s="8">
        <f>$L$7/A11</f>
        <v>0.68681900726392253</v>
      </c>
      <c r="M11" s="8">
        <f>$M$7/A11</f>
        <v>1.0961279809283253</v>
      </c>
      <c r="N11" s="8">
        <f>$N$7/A11</f>
        <v>1.2362742130750606</v>
      </c>
    </row>
    <row r="12" spans="1:14">
      <c r="A12" s="9">
        <f>B26</f>
        <v>10.299999999999997</v>
      </c>
      <c r="B12" s="8">
        <f>$B$7/A12</f>
        <v>0</v>
      </c>
      <c r="C12" s="8">
        <f>$C$7/A12</f>
        <v>0.10669033122546373</v>
      </c>
      <c r="D12" s="8">
        <f>$D$7/A12</f>
        <v>0.12569421566353561</v>
      </c>
      <c r="E12" s="8">
        <f>$E$7/A12</f>
        <v>0.1418290819642512</v>
      </c>
      <c r="F12" s="8">
        <f>$F$7/A12</f>
        <v>0.22404969557347379</v>
      </c>
      <c r="G12" s="8">
        <f>$G$7/A12</f>
        <v>0.25140509649968273</v>
      </c>
      <c r="H12" s="8">
        <f>$H$7/A12</f>
        <v>0.2667258280636593</v>
      </c>
      <c r="I12" s="8">
        <f>$I$7/A12</f>
        <v>0.28014306873395434</v>
      </c>
      <c r="J12" s="8">
        <f>$J$7/A12</f>
        <v>0.2836581639285024</v>
      </c>
      <c r="K12" s="8">
        <f>$K$7/A12</f>
        <v>0.30863988675937715</v>
      </c>
      <c r="L12" s="8">
        <f>$L$7/A12</f>
        <v>0.5334516561273186</v>
      </c>
      <c r="M12" s="8">
        <f>$M$7/A12</f>
        <v>0.85136153858510732</v>
      </c>
      <c r="N12" s="8">
        <f>$N$7/A12</f>
        <v>0.96021298102917352</v>
      </c>
    </row>
    <row r="13" spans="1:14">
      <c r="A13" s="5">
        <v>12</v>
      </c>
      <c r="B13" s="8">
        <f>$B$7/A13</f>
        <v>0</v>
      </c>
      <c r="C13" s="8">
        <f>$C$7/A13</f>
        <v>9.157586763518967E-2</v>
      </c>
      <c r="D13" s="8">
        <f>$D$7/A13</f>
        <v>0.10788753511120136</v>
      </c>
      <c r="E13" s="8">
        <f>$E$7/A13</f>
        <v>0.12173662868598224</v>
      </c>
      <c r="F13" s="8">
        <f>$F$7/A13</f>
        <v>0.19230932203389828</v>
      </c>
      <c r="G13" s="8">
        <f>$G$7/A13</f>
        <v>0.21578937449556093</v>
      </c>
      <c r="H13" s="8">
        <f>$H$7/A13</f>
        <v>0.22893966908797417</v>
      </c>
      <c r="I13" s="8">
        <f>$I$7/A13</f>
        <v>0.24045613399664409</v>
      </c>
      <c r="J13" s="8">
        <f>$J$7/A13</f>
        <v>0.24347325737196449</v>
      </c>
      <c r="K13" s="8">
        <f>$K$7/A13</f>
        <v>0.26491590280179866</v>
      </c>
      <c r="L13" s="8">
        <f>$L$7/A13</f>
        <v>0.45787933817594834</v>
      </c>
      <c r="M13" s="8">
        <f>$M$7/A13</f>
        <v>0.73075198728555024</v>
      </c>
      <c r="N13" s="8">
        <f>$N$7/A13</f>
        <v>0.82418280871670702</v>
      </c>
    </row>
    <row r="14" spans="1:14">
      <c r="A14" s="5">
        <v>14</v>
      </c>
      <c r="B14" s="8">
        <f>$B$7/A14</f>
        <v>0</v>
      </c>
      <c r="C14" s="8">
        <f>$C$7/A14</f>
        <v>7.8493600830162574E-2</v>
      </c>
      <c r="D14" s="8">
        <f>$D$7/A14</f>
        <v>9.247503009531545E-2</v>
      </c>
      <c r="E14" s="8">
        <f>$E$7/A14</f>
        <v>0.10434568173084192</v>
      </c>
      <c r="F14" s="8">
        <f>$F$7/A14</f>
        <v>0.16483656174334138</v>
      </c>
      <c r="G14" s="8">
        <f>$G$7/A14</f>
        <v>0.18496232099619508</v>
      </c>
      <c r="H14" s="8">
        <f>$H$7/A14</f>
        <v>0.19623400207540645</v>
      </c>
      <c r="I14" s="8">
        <f>$I$7/A14</f>
        <v>0.20610525771140922</v>
      </c>
      <c r="J14" s="8">
        <f>$J$7/A14</f>
        <v>0.20869136346168385</v>
      </c>
      <c r="K14" s="8">
        <f>$K$7/A14</f>
        <v>0.22707077383011315</v>
      </c>
      <c r="L14" s="8">
        <f>$L$7/A14</f>
        <v>0.3924680041508129</v>
      </c>
      <c r="M14" s="8">
        <f>$M$7/A14</f>
        <v>0.62635884624475735</v>
      </c>
      <c r="N14" s="8">
        <f>$N$7/A14</f>
        <v>0.70644240747146314</v>
      </c>
    </row>
    <row r="15" spans="1:14">
      <c r="A15" s="5"/>
      <c r="B15" s="5"/>
      <c r="C15" s="8"/>
      <c r="D15" s="8"/>
      <c r="E15" s="8"/>
      <c r="F15" s="8"/>
      <c r="G15" s="8"/>
      <c r="H15" s="8"/>
      <c r="I15" s="8"/>
      <c r="J15" s="8"/>
      <c r="K15" s="8"/>
      <c r="L15" s="8"/>
      <c r="M15" s="8"/>
      <c r="N15" s="8"/>
    </row>
    <row r="16" spans="1:14" ht="33.75">
      <c r="A16" s="5" t="s">
        <v>60</v>
      </c>
      <c r="B16" s="12">
        <f>B3*$B$38</f>
        <v>0</v>
      </c>
      <c r="C16" s="12">
        <f>C3*$B$38</f>
        <v>376122.9</v>
      </c>
      <c r="D16" s="12">
        <f>D3*$B$38</f>
        <v>443118.62532966794</v>
      </c>
      <c r="E16" s="12">
        <v>500000</v>
      </c>
      <c r="F16" s="12">
        <f>F3*$B$38</f>
        <v>789858.09</v>
      </c>
      <c r="G16" s="12">
        <f>G3*$B$38</f>
        <v>886296.00156</v>
      </c>
      <c r="H16" s="12">
        <f>H3*$B$38</f>
        <v>940307.25</v>
      </c>
      <c r="I16" s="12">
        <f>I3*$B$38</f>
        <v>987607.98862311593</v>
      </c>
      <c r="J16" s="12">
        <v>1000000</v>
      </c>
      <c r="K16" s="12">
        <f>K17*B27</f>
        <v>1088069.817857143</v>
      </c>
      <c r="L16" s="12">
        <f>L3*$B$38</f>
        <v>1880614.5</v>
      </c>
      <c r="M16" s="12">
        <f>M3*$B$38</f>
        <v>2274641.8480436215</v>
      </c>
      <c r="N16" s="12">
        <f>N3*$B$38</f>
        <v>3385106.1</v>
      </c>
    </row>
    <row r="17" spans="1:14" ht="45">
      <c r="A17" s="5" t="s">
        <v>61</v>
      </c>
      <c r="B17" s="12" t="s">
        <v>54</v>
      </c>
      <c r="C17" s="12">
        <f t="shared" ref="C17:J17" si="3">C16/$B$27</f>
        <v>41791.433333333334</v>
      </c>
      <c r="D17" s="12">
        <f t="shared" si="3"/>
        <v>49235.402814407549</v>
      </c>
      <c r="E17" s="12">
        <f t="shared" si="3"/>
        <v>55555.555555555555</v>
      </c>
      <c r="F17" s="12">
        <f t="shared" si="3"/>
        <v>87762.01</v>
      </c>
      <c r="G17" s="12">
        <f t="shared" si="3"/>
        <v>98477.333506666662</v>
      </c>
      <c r="H17" s="12">
        <f t="shared" si="3"/>
        <v>104478.58333333333</v>
      </c>
      <c r="I17" s="12">
        <f t="shared" si="3"/>
        <v>109734.22095812399</v>
      </c>
      <c r="J17" s="12">
        <f t="shared" si="3"/>
        <v>111111.11111111111</v>
      </c>
      <c r="K17" s="12">
        <f>($B$38*0.9)/(K18-B28)</f>
        <v>120896.64642857143</v>
      </c>
      <c r="L17" s="12">
        <f>L16/$B$27</f>
        <v>208957.16666666666</v>
      </c>
      <c r="M17" s="12">
        <f>M16/$B$27</f>
        <v>252737.98311595793</v>
      </c>
      <c r="N17" s="12">
        <f>N16/$B$27</f>
        <v>376122.9</v>
      </c>
    </row>
    <row r="18" spans="1:14" ht="67.5">
      <c r="A18" s="5" t="s">
        <v>62</v>
      </c>
      <c r="B18" s="13" t="s">
        <v>63</v>
      </c>
      <c r="C18" s="13">
        <f t="shared" ref="C18:J18" si="4">(($B$38*$N$3)/C17)+$B$28-1</f>
        <v>2102</v>
      </c>
      <c r="D18" s="13">
        <f t="shared" si="4"/>
        <v>2089.7534965999998</v>
      </c>
      <c r="E18" s="13">
        <f t="shared" si="4"/>
        <v>2081.9319098000001</v>
      </c>
      <c r="F18" s="13">
        <f t="shared" si="4"/>
        <v>2059.5714285714284</v>
      </c>
      <c r="G18" s="13">
        <f t="shared" si="4"/>
        <v>2055.374469529791</v>
      </c>
      <c r="H18" s="13">
        <f t="shared" si="4"/>
        <v>2053.4</v>
      </c>
      <c r="I18" s="13">
        <f t="shared" si="4"/>
        <v>2051.8482264734153</v>
      </c>
      <c r="J18" s="13">
        <f t="shared" si="4"/>
        <v>2051.4659548999998</v>
      </c>
      <c r="K18" s="13">
        <v>2050</v>
      </c>
      <c r="L18" s="13">
        <f>(($B$38*$N$3)/L17)+$B$28-1</f>
        <v>2037.2</v>
      </c>
      <c r="M18" s="13">
        <f>(($B$38*$N$3)/M17)+$B$28-1</f>
        <v>2034.3937370958874</v>
      </c>
      <c r="N18" s="13">
        <f>(($B$38*$N$3)/N17)+$B$28-1</f>
        <v>2030</v>
      </c>
    </row>
    <row r="20" spans="1:14" ht="22.5">
      <c r="A20" s="5" t="s">
        <v>64</v>
      </c>
      <c r="B20" s="14">
        <v>14.5</v>
      </c>
    </row>
    <row r="21" spans="1:14">
      <c r="A21" s="5" t="s">
        <v>65</v>
      </c>
      <c r="B21" s="5">
        <v>2030</v>
      </c>
    </row>
    <row r="22" spans="1:14" ht="30.2" customHeight="1">
      <c r="A22" s="5" t="s">
        <v>66</v>
      </c>
      <c r="B22" s="5">
        <v>135.4</v>
      </c>
      <c r="C22" s="10" t="s">
        <v>67</v>
      </c>
      <c r="D22" s="10"/>
      <c r="E22" s="10"/>
      <c r="F22" s="10"/>
      <c r="G22" s="10"/>
    </row>
    <row r="23" spans="1:14" ht="21.4" customHeight="1">
      <c r="A23" s="5" t="s">
        <v>68</v>
      </c>
      <c r="B23" s="15">
        <v>0.5</v>
      </c>
      <c r="C23" s="10"/>
      <c r="D23" s="10"/>
      <c r="E23" s="10"/>
      <c r="F23" s="10"/>
      <c r="G23" s="10"/>
    </row>
    <row r="24" spans="1:14" ht="23.1" customHeight="1">
      <c r="A24" s="5" t="s">
        <v>69</v>
      </c>
      <c r="B24" s="9">
        <f>B23*B22</f>
        <v>67.7</v>
      </c>
      <c r="C24" s="10"/>
      <c r="D24" s="10"/>
      <c r="E24" s="10"/>
      <c r="F24" s="10"/>
      <c r="G24" s="10"/>
    </row>
    <row r="25" spans="1:14" ht="30.6" customHeight="1">
      <c r="A25" s="5" t="s">
        <v>70</v>
      </c>
      <c r="B25" s="9">
        <v>78</v>
      </c>
      <c r="C25" s="10"/>
      <c r="D25" s="10"/>
      <c r="E25" s="10"/>
      <c r="F25" s="10"/>
      <c r="G25" s="10"/>
    </row>
    <row r="26" spans="1:14" ht="37.700000000000003" customHeight="1">
      <c r="A26" s="5" t="s">
        <v>71</v>
      </c>
      <c r="B26" s="9">
        <f>B25-B24</f>
        <v>10.299999999999997</v>
      </c>
      <c r="C26" s="10"/>
      <c r="D26" s="10"/>
      <c r="E26" s="10"/>
      <c r="F26" s="10"/>
      <c r="G26" s="10"/>
    </row>
    <row r="27" spans="1:14" ht="31.15" customHeight="1">
      <c r="A27" s="5" t="s">
        <v>72</v>
      </c>
      <c r="B27" s="13">
        <v>9</v>
      </c>
      <c r="C27" s="10"/>
      <c r="D27" s="10"/>
      <c r="E27" s="10"/>
      <c r="F27" s="10"/>
      <c r="G27" s="10"/>
    </row>
    <row r="28" spans="1:14" ht="42.2" customHeight="1">
      <c r="A28" s="5" t="s">
        <v>73</v>
      </c>
      <c r="B28" s="13">
        <f>(B21-B27)+1</f>
        <v>2022</v>
      </c>
      <c r="C28" s="10"/>
      <c r="D28" s="10"/>
      <c r="E28" s="10"/>
      <c r="F28" s="10"/>
      <c r="G28" s="10"/>
    </row>
    <row r="29" spans="1:14" ht="14.25" customHeight="1">
      <c r="B29" s="16"/>
      <c r="C29" s="10"/>
      <c r="D29" s="10"/>
      <c r="E29" s="10"/>
      <c r="F29" s="10"/>
      <c r="G29" s="10"/>
    </row>
    <row r="30" spans="1:14" ht="30.75" customHeight="1">
      <c r="A30" s="5" t="s">
        <v>74</v>
      </c>
      <c r="B30" s="17">
        <v>5.3E-3</v>
      </c>
      <c r="C30" s="18" t="s">
        <v>75</v>
      </c>
      <c r="D30" s="18"/>
      <c r="E30" s="18"/>
      <c r="F30" s="18"/>
      <c r="G30" s="18"/>
      <c r="H30" s="18"/>
      <c r="I30" s="18"/>
      <c r="J30" s="18"/>
      <c r="K30" s="18"/>
      <c r="L30" s="18"/>
      <c r="M30" s="18"/>
    </row>
    <row r="31" spans="1:14" ht="32.85" customHeight="1">
      <c r="A31" s="5" t="s">
        <v>76</v>
      </c>
      <c r="B31" s="17">
        <v>9.5</v>
      </c>
      <c r="C31" s="18" t="s">
        <v>77</v>
      </c>
      <c r="D31" s="18"/>
      <c r="E31" s="18"/>
      <c r="F31" s="18"/>
      <c r="G31" s="18"/>
      <c r="H31" s="18"/>
      <c r="I31" s="18"/>
      <c r="J31" s="18"/>
      <c r="K31" s="18"/>
      <c r="L31" s="18"/>
      <c r="M31" s="18"/>
    </row>
    <row r="32" spans="1:14" ht="32.85" customHeight="1">
      <c r="A32" s="5" t="s">
        <v>78</v>
      </c>
      <c r="B32" s="5">
        <v>61106458</v>
      </c>
      <c r="C32" s="18" t="s">
        <v>79</v>
      </c>
      <c r="D32" s="18"/>
      <c r="E32" s="18"/>
      <c r="F32" s="18"/>
      <c r="G32" s="18"/>
      <c r="H32" s="18"/>
      <c r="I32" s="18"/>
      <c r="J32" s="18"/>
      <c r="K32" s="18"/>
      <c r="L32" s="18"/>
      <c r="M32" s="18"/>
    </row>
    <row r="33" spans="1:13" ht="31.35" customHeight="1">
      <c r="A33" s="5" t="s">
        <v>80</v>
      </c>
      <c r="B33" s="5">
        <v>14902</v>
      </c>
      <c r="C33" s="18"/>
      <c r="D33" s="18"/>
      <c r="E33" s="18"/>
      <c r="F33" s="18"/>
      <c r="G33" s="18"/>
      <c r="H33" s="18"/>
      <c r="I33" s="18"/>
      <c r="J33" s="18"/>
      <c r="K33" s="18"/>
      <c r="L33" s="18"/>
      <c r="M33" s="18"/>
    </row>
    <row r="34" spans="1:13" ht="12.6" customHeight="1">
      <c r="A34" s="5" t="s">
        <v>81</v>
      </c>
      <c r="B34" s="19">
        <f>(B33*1000*B35)/B32</f>
        <v>537.63465066163712</v>
      </c>
      <c r="C34" s="18" t="s">
        <v>82</v>
      </c>
      <c r="D34" s="18"/>
      <c r="E34" s="18"/>
      <c r="F34" s="18"/>
      <c r="G34" s="18"/>
      <c r="H34" s="18"/>
      <c r="I34" s="18"/>
      <c r="J34" s="18"/>
      <c r="K34" s="18"/>
      <c r="L34" s="18"/>
      <c r="M34" s="18"/>
    </row>
    <row r="35" spans="1:13" ht="10.9" customHeight="1">
      <c r="A35" s="5" t="s">
        <v>83</v>
      </c>
      <c r="B35" s="19">
        <v>2204.6</v>
      </c>
      <c r="C35" s="18"/>
      <c r="D35" s="18"/>
      <c r="E35" s="18"/>
      <c r="F35" s="18"/>
      <c r="G35" s="18"/>
      <c r="H35" s="18"/>
      <c r="I35" s="18"/>
      <c r="J35" s="18"/>
      <c r="K35" s="18"/>
      <c r="L35" s="18"/>
      <c r="M35" s="18"/>
    </row>
    <row r="36" spans="1:13">
      <c r="A36" s="5"/>
      <c r="B36" s="5"/>
    </row>
    <row r="37" spans="1:13" ht="42.75" customHeight="1">
      <c r="A37" s="5" t="s">
        <v>84</v>
      </c>
      <c r="B37" s="14">
        <v>4.13</v>
      </c>
      <c r="C37" s="10" t="s">
        <v>85</v>
      </c>
      <c r="D37" s="10"/>
      <c r="E37" s="10"/>
      <c r="F37" s="10"/>
      <c r="G37" s="10"/>
    </row>
    <row r="38" spans="1:13" ht="12.6" customHeight="1">
      <c r="A38" s="5" t="s">
        <v>86</v>
      </c>
      <c r="B38" s="13">
        <v>3761229</v>
      </c>
      <c r="C38" s="10" t="s">
        <v>87</v>
      </c>
      <c r="D38" s="10"/>
      <c r="E38" s="10"/>
      <c r="F38" s="10"/>
      <c r="G38" s="10"/>
    </row>
    <row r="39" spans="1:13" ht="12.6" customHeight="1">
      <c r="A39" s="5"/>
      <c r="B39" s="14"/>
      <c r="C39" s="10"/>
      <c r="D39" s="10"/>
      <c r="E39" s="10"/>
      <c r="F39" s="10"/>
      <c r="G39" s="10"/>
    </row>
    <row r="40" spans="1:13" ht="38.85" customHeight="1">
      <c r="A40" s="5" t="s">
        <v>88</v>
      </c>
      <c r="B40" s="14"/>
      <c r="C40" s="20" t="s">
        <v>89</v>
      </c>
      <c r="D40" s="20"/>
      <c r="E40" s="20"/>
      <c r="F40" s="20"/>
      <c r="G40" s="20"/>
    </row>
    <row r="41" spans="1:13" ht="19.149999999999999" customHeight="1">
      <c r="A41" s="5" t="s">
        <v>90</v>
      </c>
      <c r="B41" s="8">
        <v>0.2</v>
      </c>
      <c r="C41" s="21"/>
      <c r="D41" s="21"/>
      <c r="E41" s="21"/>
      <c r="F41" s="21"/>
      <c r="G41" s="21"/>
    </row>
    <row r="42" spans="1:13" ht="21.95" customHeight="1">
      <c r="A42" s="5" t="s">
        <v>91</v>
      </c>
      <c r="B42" s="8">
        <v>1</v>
      </c>
      <c r="C42" s="21"/>
      <c r="D42" s="21"/>
      <c r="E42" s="21"/>
      <c r="F42" s="21"/>
      <c r="G42" s="21"/>
    </row>
    <row r="43" spans="1:13" ht="19.7" customHeight="1">
      <c r="A43" s="5" t="s">
        <v>92</v>
      </c>
      <c r="B43" s="8">
        <v>1</v>
      </c>
      <c r="C43" s="21"/>
      <c r="D43" s="21"/>
      <c r="E43" s="21"/>
      <c r="F43" s="21"/>
      <c r="G43" s="21"/>
    </row>
    <row r="44" spans="1:13" ht="28.5" customHeight="1">
      <c r="A44" s="5" t="s">
        <v>93</v>
      </c>
      <c r="B44" s="14" t="s">
        <v>94</v>
      </c>
      <c r="C44" s="10" t="s">
        <v>95</v>
      </c>
      <c r="D44" s="10"/>
      <c r="E44" s="10"/>
      <c r="F44" s="10"/>
      <c r="G44" s="10"/>
    </row>
    <row r="45" spans="1:13" ht="30.6" customHeight="1">
      <c r="A45" s="5" t="s">
        <v>96</v>
      </c>
      <c r="B45" s="8">
        <v>0.87</v>
      </c>
      <c r="C45" s="3" t="s">
        <v>97</v>
      </c>
      <c r="G45" s="10"/>
    </row>
    <row r="46" spans="1:13" ht="24" customHeight="1">
      <c r="A46" s="5" t="s">
        <v>98</v>
      </c>
      <c r="B46" s="8">
        <v>0.1</v>
      </c>
      <c r="C46"/>
      <c r="D46"/>
      <c r="E46"/>
      <c r="F46"/>
    </row>
    <row r="47" spans="1:13" ht="14.85" customHeight="1">
      <c r="A47" s="5" t="s">
        <v>99</v>
      </c>
      <c r="B47" s="8">
        <f>100%-(B45+B46)</f>
        <v>3.0000000000000027E-2</v>
      </c>
      <c r="C47" s="10" t="s">
        <v>100</v>
      </c>
      <c r="D47" s="10"/>
      <c r="E47" s="10"/>
      <c r="F47" s="10"/>
      <c r="G47" s="10"/>
    </row>
    <row r="48" spans="1:13" ht="39.950000000000003" customHeight="1">
      <c r="A48" s="5" t="s">
        <v>101</v>
      </c>
      <c r="B48" s="8">
        <f>(B45*B41)+(B42*B46)</f>
        <v>0.27400000000000002</v>
      </c>
      <c r="C48" s="10" t="s">
        <v>102</v>
      </c>
      <c r="D48" s="10"/>
      <c r="E48" s="10"/>
      <c r="F48" s="10"/>
      <c r="G48" s="10"/>
    </row>
    <row r="49" spans="1:7" ht="18.600000000000001" customHeight="1">
      <c r="A49" s="5" t="s">
        <v>103</v>
      </c>
      <c r="B49" s="8">
        <v>0.14000000000000001</v>
      </c>
      <c r="C49" s="22" t="s">
        <v>104</v>
      </c>
      <c r="D49" s="22"/>
      <c r="E49" s="22"/>
      <c r="F49" s="22"/>
      <c r="G49" s="22"/>
    </row>
    <row r="50" spans="1:7" ht="42.75" customHeight="1">
      <c r="A50" s="5" t="s">
        <v>105</v>
      </c>
      <c r="B50" s="8">
        <f>((100%-B49)/100%)*B48</f>
        <v>0.23564000000000002</v>
      </c>
      <c r="C50" s="22"/>
      <c r="D50" s="22"/>
      <c r="E50" s="22"/>
      <c r="F50" s="22"/>
      <c r="G50" s="22"/>
    </row>
    <row r="51" spans="1:7" ht="12.6" customHeight="1">
      <c r="A51" s="5"/>
      <c r="B51" s="14"/>
      <c r="C51" s="10"/>
      <c r="D51" s="10"/>
      <c r="E51" s="10"/>
      <c r="F51" s="10"/>
      <c r="G51" s="10"/>
    </row>
    <row r="52" spans="1:7" ht="12.6" customHeight="1">
      <c r="A52" s="17" t="s">
        <v>106</v>
      </c>
      <c r="B52" s="8"/>
      <c r="C52" s="10"/>
      <c r="D52" s="10"/>
      <c r="E52" s="10"/>
      <c r="F52" s="10"/>
      <c r="G52" s="10"/>
    </row>
    <row r="53" spans="1:7" ht="19.899999999999999" customHeight="1">
      <c r="A53" s="5" t="s">
        <v>107</v>
      </c>
      <c r="B53" s="8">
        <v>0.03</v>
      </c>
      <c r="C53" s="10"/>
      <c r="D53" s="10"/>
      <c r="E53" s="10"/>
      <c r="F53" s="10"/>
      <c r="G53" s="10"/>
    </row>
    <row r="54" spans="1:7" ht="22.35" customHeight="1">
      <c r="A54" s="5" t="s">
        <v>108</v>
      </c>
      <c r="B54" s="13">
        <v>10</v>
      </c>
      <c r="C54" s="10"/>
      <c r="D54" s="10"/>
      <c r="E54" s="10"/>
      <c r="F54" s="10"/>
      <c r="G54" s="10"/>
    </row>
    <row r="55" spans="1:7" ht="27.75" customHeight="1">
      <c r="A55" s="5" t="s">
        <v>109</v>
      </c>
      <c r="B55" s="14">
        <f>YOYNGDecline!B15</f>
        <v>10.692649839976459</v>
      </c>
      <c r="C55" s="10" t="s">
        <v>110</v>
      </c>
      <c r="D55" s="10"/>
      <c r="E55" s="10"/>
      <c r="F55" s="10"/>
      <c r="G55" s="10"/>
    </row>
    <row r="56" spans="1:7" ht="22.35" customHeight="1">
      <c r="A56" s="5" t="s">
        <v>111</v>
      </c>
      <c r="B56" s="8">
        <f>(B20-B55)/B20</f>
        <v>0.26257587310507174</v>
      </c>
      <c r="C56" s="10" t="s">
        <v>112</v>
      </c>
      <c r="D56" s="10"/>
      <c r="E56" s="10"/>
      <c r="F56" s="10"/>
      <c r="G56" s="10"/>
    </row>
    <row r="57" spans="1:7" ht="12.6" customHeight="1">
      <c r="A57" s="5"/>
      <c r="B57" s="14"/>
      <c r="C57" s="10"/>
      <c r="D57" s="10"/>
      <c r="E57" s="10"/>
      <c r="F57" s="10"/>
      <c r="G57" s="10"/>
    </row>
    <row r="58" spans="1:7" ht="12.6" customHeight="1">
      <c r="A58" s="5" t="s">
        <v>113</v>
      </c>
      <c r="B58" s="14"/>
      <c r="C58" s="10"/>
      <c r="D58" s="10"/>
      <c r="E58" s="10"/>
      <c r="F58" s="10"/>
      <c r="G58" s="10"/>
    </row>
    <row r="59" spans="1:7" ht="12.6" customHeight="1">
      <c r="A59" s="17" t="s">
        <v>114</v>
      </c>
      <c r="B59" s="14"/>
      <c r="C59" s="10"/>
      <c r="D59" s="10"/>
      <c r="E59" s="10"/>
      <c r="F59" s="10"/>
      <c r="G59" s="10"/>
    </row>
    <row r="60" spans="1:7" ht="24" customHeight="1">
      <c r="A60" s="5" t="s">
        <v>115</v>
      </c>
      <c r="B60" s="13">
        <v>1000000</v>
      </c>
      <c r="C60" s="10" t="s">
        <v>116</v>
      </c>
      <c r="D60" s="10"/>
      <c r="E60" s="10"/>
      <c r="F60" s="10"/>
      <c r="G60" s="10"/>
    </row>
    <row r="61" spans="1:7" ht="21.6" customHeight="1">
      <c r="A61" s="5" t="s">
        <v>117</v>
      </c>
      <c r="B61" s="13">
        <v>8488086</v>
      </c>
      <c r="C61" s="10"/>
      <c r="D61" s="10"/>
      <c r="E61" s="10"/>
      <c r="F61" s="10"/>
      <c r="G61" s="10"/>
    </row>
    <row r="62" spans="1:7" ht="12.6" customHeight="1">
      <c r="A62" s="5" t="s">
        <v>118</v>
      </c>
      <c r="B62" s="8">
        <f>B60/B61</f>
        <v>0.11781218993304261</v>
      </c>
      <c r="C62" s="10"/>
      <c r="D62" s="10"/>
      <c r="E62" s="10"/>
      <c r="F62" s="10"/>
      <c r="G62" s="10"/>
    </row>
    <row r="63" spans="1:7" ht="12.6" customHeight="1">
      <c r="A63" s="5"/>
      <c r="B63" s="8"/>
      <c r="C63" s="10"/>
      <c r="D63" s="10"/>
      <c r="E63" s="10"/>
      <c r="F63" s="10"/>
      <c r="G63" s="10"/>
    </row>
    <row r="64" spans="1:7" ht="12.6" customHeight="1">
      <c r="A64" s="17" t="s">
        <v>119</v>
      </c>
      <c r="B64" s="14"/>
      <c r="C64" s="10"/>
      <c r="D64" s="10"/>
      <c r="E64" s="10"/>
      <c r="F64" s="10"/>
      <c r="G64" s="10"/>
    </row>
    <row r="65" spans="1:7" ht="12.6" customHeight="1">
      <c r="A65" s="17" t="s">
        <v>114</v>
      </c>
      <c r="B65" s="14"/>
      <c r="C65" s="10"/>
      <c r="D65" s="10"/>
      <c r="E65" s="10"/>
      <c r="F65" s="10"/>
      <c r="G65" s="10"/>
    </row>
    <row r="66" spans="1:7" ht="12.6" customHeight="1">
      <c r="A66" s="23" t="s">
        <v>120</v>
      </c>
      <c r="B66" s="24"/>
      <c r="C66" s="10"/>
      <c r="D66" s="10"/>
      <c r="E66" s="10"/>
      <c r="F66" s="10"/>
      <c r="G66" s="10"/>
    </row>
    <row r="67" spans="1:7" ht="12.6" customHeight="1">
      <c r="A67" s="25" t="s">
        <v>121</v>
      </c>
      <c r="B67" s="14"/>
      <c r="C67" s="10"/>
      <c r="D67" s="10"/>
      <c r="E67" s="10"/>
      <c r="F67" s="10"/>
      <c r="G67" s="10"/>
    </row>
    <row r="68" spans="1:7" ht="12.6" customHeight="1">
      <c r="A68" s="25" t="s">
        <v>122</v>
      </c>
      <c r="B68" s="14"/>
      <c r="C68" s="10"/>
      <c r="D68" s="10"/>
      <c r="E68" s="10"/>
      <c r="F68" s="10"/>
      <c r="G68" s="10"/>
    </row>
    <row r="69" spans="1:7" ht="12.6" customHeight="1">
      <c r="A69" s="5" t="s">
        <v>123</v>
      </c>
      <c r="B69" s="9">
        <v>19.7</v>
      </c>
      <c r="C69" s="10"/>
      <c r="D69" s="10"/>
      <c r="E69" s="10"/>
      <c r="F69" s="10"/>
      <c r="G69" s="10"/>
    </row>
    <row r="70" spans="1:7" ht="12.6" customHeight="1">
      <c r="A70" s="5" t="s">
        <v>124</v>
      </c>
      <c r="B70" s="9">
        <v>10.3</v>
      </c>
      <c r="C70" s="10"/>
      <c r="D70" s="10"/>
      <c r="E70" s="10"/>
      <c r="F70" s="10"/>
      <c r="G70" s="10"/>
    </row>
    <row r="71" spans="1:7" ht="40.5" customHeight="1">
      <c r="A71" s="5" t="s">
        <v>125</v>
      </c>
      <c r="B71" s="14">
        <f>(B69-B70)/(2030-2017)</f>
        <v>0.72307692307692295</v>
      </c>
      <c r="C71" s="10"/>
      <c r="D71" s="10"/>
      <c r="E71" s="10"/>
      <c r="F71" s="10"/>
      <c r="G71" s="10"/>
    </row>
    <row r="72" spans="1:7" ht="11.45" customHeight="1">
      <c r="A72" s="5" t="s">
        <v>126</v>
      </c>
      <c r="B72" s="13">
        <v>6893574</v>
      </c>
      <c r="C72" s="10"/>
      <c r="D72" s="10"/>
      <c r="E72" s="10"/>
      <c r="F72" s="10"/>
      <c r="G72" s="10"/>
    </row>
    <row r="73" spans="1:7" ht="11.45" customHeight="1">
      <c r="A73" s="5" t="s">
        <v>127</v>
      </c>
      <c r="B73" s="13">
        <v>9288994</v>
      </c>
      <c r="C73" s="10"/>
      <c r="D73" s="10"/>
      <c r="E73" s="10"/>
      <c r="F73" s="10"/>
      <c r="G73" s="10"/>
    </row>
    <row r="74" spans="1:7" ht="60.2" customHeight="1">
      <c r="A74" s="5" t="s">
        <v>128</v>
      </c>
      <c r="B74" s="14">
        <f>B71*(B73/B72)</f>
        <v>0.97433598304740021</v>
      </c>
      <c r="C74" s="10" t="s">
        <v>129</v>
      </c>
      <c r="D74" s="10"/>
      <c r="E74" s="10"/>
      <c r="F74" s="10"/>
      <c r="G74" s="10"/>
    </row>
    <row r="75" spans="1:7" ht="46.5" customHeight="1">
      <c r="A75" s="5" t="s">
        <v>130</v>
      </c>
      <c r="B75" s="14">
        <f>B27* B74</f>
        <v>8.7690238474266025</v>
      </c>
      <c r="C75" s="10"/>
      <c r="D75" s="10"/>
      <c r="E75" s="10"/>
      <c r="F75" s="10"/>
      <c r="G75" s="10"/>
    </row>
    <row r="76" spans="1:7" ht="11.45" customHeight="1">
      <c r="A76" s="5"/>
      <c r="B76" s="14"/>
      <c r="C76" s="10"/>
      <c r="D76" s="10"/>
      <c r="E76" s="10"/>
      <c r="F76" s="10"/>
      <c r="G76" s="10"/>
    </row>
    <row r="77" spans="1:7" ht="11.45" customHeight="1">
      <c r="A77" s="5" t="s">
        <v>131</v>
      </c>
      <c r="B77" s="14"/>
      <c r="C77" s="10"/>
      <c r="D77" s="10"/>
      <c r="E77" s="10"/>
      <c r="F77" s="10"/>
      <c r="G77" s="10"/>
    </row>
    <row r="78" spans="1:7">
      <c r="A78" s="10" t="s">
        <v>132</v>
      </c>
    </row>
    <row r="79" spans="1:7">
      <c r="A79" s="10" t="s">
        <v>133</v>
      </c>
    </row>
    <row r="80" spans="1:7">
      <c r="A80" s="10" t="s">
        <v>134</v>
      </c>
    </row>
    <row r="81" spans="1:1">
      <c r="A81" s="10" t="s">
        <v>135</v>
      </c>
    </row>
    <row r="82" spans="1:1">
      <c r="A82" s="10" t="s">
        <v>136</v>
      </c>
    </row>
    <row r="83" spans="1:1">
      <c r="A83" s="10" t="s">
        <v>137</v>
      </c>
    </row>
    <row r="84" spans="1:1">
      <c r="A84" s="25" t="s">
        <v>138</v>
      </c>
    </row>
    <row r="85" spans="1:1">
      <c r="A85" s="25" t="s">
        <v>139</v>
      </c>
    </row>
    <row r="86" spans="1:1">
      <c r="A86" s="10" t="s">
        <v>140</v>
      </c>
    </row>
    <row r="87" spans="1:1">
      <c r="A87" s="10" t="s">
        <v>141</v>
      </c>
    </row>
    <row r="88" spans="1:1">
      <c r="A88" s="10" t="s">
        <v>142</v>
      </c>
    </row>
  </sheetData>
  <mergeCells count="2">
    <mergeCell ref="B4:N4"/>
    <mergeCell ref="B10:N10"/>
  </mergeCells>
  <hyperlinks>
    <hyperlink ref="C40" r:id="rId1" display="https://acadiacenter.org/resource/the-future-is-electric/  “NJBPU together with other agencies should set new goals to convert all homes with costly electric resistance, oil or propane heating to electric heat pumps by 2030, as well as at least 20% of homes with fossil gas heating systems”" xr:uid="{00000000-0004-0000-0100-000000000000}"/>
    <hyperlink ref="C49" r:id="rId2" xr:uid="{00000000-0004-0000-0100-000001000000}"/>
    <hyperlink ref="A66" r:id="rId3" xr:uid="{00000000-0004-0000-0100-000002000000}"/>
  </hyperlinks>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5"/>
  <sheetViews>
    <sheetView zoomScaleNormal="100" workbookViewId="0">
      <selection activeCell="B19" sqref="B19"/>
    </sheetView>
  </sheetViews>
  <sheetFormatPr defaultColWidth="11.5703125" defaultRowHeight="12.75"/>
  <cols>
    <col min="1" max="1" width="12.7109375" customWidth="1"/>
    <col min="2" max="2" width="18.42578125" customWidth="1"/>
  </cols>
  <sheetData>
    <row r="1" spans="1:2">
      <c r="A1" t="s">
        <v>143</v>
      </c>
      <c r="B1" s="26">
        <f>'2030Targets'!B53</f>
        <v>0.03</v>
      </c>
    </row>
    <row r="2" spans="1:2">
      <c r="A2" t="s">
        <v>144</v>
      </c>
      <c r="B2" s="27">
        <f>'2030Targets'!B54</f>
        <v>10</v>
      </c>
    </row>
    <row r="4" spans="1:2">
      <c r="A4" t="s">
        <v>145</v>
      </c>
      <c r="B4" t="s">
        <v>146</v>
      </c>
    </row>
    <row r="5" spans="1:2">
      <c r="A5" t="s">
        <v>147</v>
      </c>
      <c r="B5" s="28">
        <f>'2030Targets'!B20</f>
        <v>14.5</v>
      </c>
    </row>
    <row r="6" spans="1:2">
      <c r="A6">
        <v>1</v>
      </c>
      <c r="B6" s="29">
        <f t="shared" ref="B6:B15" si="0">B5-(B5*$B$1)</f>
        <v>14.065</v>
      </c>
    </row>
    <row r="7" spans="1:2">
      <c r="A7">
        <f t="shared" ref="A7:A15" si="1">A6+1</f>
        <v>2</v>
      </c>
      <c r="B7" s="29">
        <f t="shared" si="0"/>
        <v>13.643049999999999</v>
      </c>
    </row>
    <row r="8" spans="1:2">
      <c r="A8">
        <f t="shared" si="1"/>
        <v>3</v>
      </c>
      <c r="B8" s="29">
        <f t="shared" si="0"/>
        <v>13.233758499999999</v>
      </c>
    </row>
    <row r="9" spans="1:2">
      <c r="A9">
        <f t="shared" si="1"/>
        <v>4</v>
      </c>
      <c r="B9" s="29">
        <f t="shared" si="0"/>
        <v>12.836745744999998</v>
      </c>
    </row>
    <row r="10" spans="1:2">
      <c r="A10">
        <f t="shared" si="1"/>
        <v>5</v>
      </c>
      <c r="B10" s="29">
        <f t="shared" si="0"/>
        <v>12.451643372649999</v>
      </c>
    </row>
    <row r="11" spans="1:2">
      <c r="A11">
        <f t="shared" si="1"/>
        <v>6</v>
      </c>
      <c r="B11" s="29">
        <f t="shared" si="0"/>
        <v>12.078094071470499</v>
      </c>
    </row>
    <row r="12" spans="1:2">
      <c r="A12">
        <f t="shared" si="1"/>
        <v>7</v>
      </c>
      <c r="B12" s="29">
        <f t="shared" si="0"/>
        <v>11.715751249326384</v>
      </c>
    </row>
    <row r="13" spans="1:2">
      <c r="A13">
        <f t="shared" si="1"/>
        <v>8</v>
      </c>
      <c r="B13" s="29">
        <f t="shared" si="0"/>
        <v>11.364278711846593</v>
      </c>
    </row>
    <row r="14" spans="1:2">
      <c r="A14">
        <f t="shared" si="1"/>
        <v>9</v>
      </c>
      <c r="B14" s="29">
        <f t="shared" si="0"/>
        <v>11.023350350491196</v>
      </c>
    </row>
    <row r="15" spans="1:2">
      <c r="A15">
        <f t="shared" si="1"/>
        <v>10</v>
      </c>
      <c r="B15" s="29">
        <f t="shared" si="0"/>
        <v>10.692649839976459</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0"/>
  <sheetViews>
    <sheetView zoomScale="110" zoomScaleNormal="110" workbookViewId="0">
      <selection activeCell="E1" sqref="E1"/>
    </sheetView>
  </sheetViews>
  <sheetFormatPr defaultColWidth="12.42578125" defaultRowHeight="12.75"/>
  <sheetData>
    <row r="1" spans="1:1">
      <c r="A1" t="s">
        <v>148</v>
      </c>
    </row>
    <row r="2" spans="1:1">
      <c r="A2" t="s">
        <v>149</v>
      </c>
    </row>
    <row r="37" spans="1:2">
      <c r="A37" t="s">
        <v>150</v>
      </c>
    </row>
    <row r="38" spans="1:2">
      <c r="A38" s="3" t="s">
        <v>37</v>
      </c>
      <c r="B38" s="10" t="s">
        <v>38</v>
      </c>
    </row>
    <row r="50" spans="3:7">
      <c r="C50" s="3"/>
      <c r="D50" s="3"/>
      <c r="E50" s="3"/>
      <c r="F50" s="3"/>
      <c r="G50" s="4"/>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zoomScale="110" zoomScaleNormal="110" workbookViewId="0">
      <selection activeCell="G4" sqref="G4"/>
    </sheetView>
  </sheetViews>
  <sheetFormatPr defaultColWidth="11.85546875" defaultRowHeight="12.75"/>
  <sheetData>
    <row r="1" spans="1:1">
      <c r="A1" t="s">
        <v>120</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2935</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NJEmissions</vt:lpstr>
      <vt:lpstr>2030Targets</vt:lpstr>
      <vt:lpstr>YOYNGDecline</vt:lpstr>
      <vt:lpstr>NJ EMP GHG Charts</vt:lpstr>
      <vt:lpstr>MassComparisonRef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s</cp:lastModifiedBy>
  <cp:revision>676</cp:revision>
  <dcterms:created xsi:type="dcterms:W3CDTF">2021-08-27T16:39:00Z</dcterms:created>
  <dcterms:modified xsi:type="dcterms:W3CDTF">2022-10-18T02:39:03Z</dcterms:modified>
  <dc:language>en-US</dc:language>
</cp:coreProperties>
</file>