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2.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NJEmissions" sheetId="1" state="visible" r:id="rId2"/>
    <sheet name="2030Targets" sheetId="2" state="visible" r:id="rId3"/>
    <sheet name="YOYNGDecline" sheetId="3" state="visible" r:id="rId4"/>
    <sheet name="NJ EMP GHG Charts" sheetId="4" state="visible" r:id="rId5"/>
    <sheet name="MassComparisonRef" sheetId="5" state="visible" r:id="rId6"/>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<sst xmlns="http://schemas.openxmlformats.org/spreadsheetml/2006/main" count="159" uniqueCount="151">
  <si>
    <t xml:space="preserve">NJ Emissions – 2019</t>
  </si>
  <si>
    <t xml:space="preserve">Millions of metric tons CO2e  (2019)</t>
  </si>
  <si>
    <t xml:space="preserve">% Gross Emissions</t>
  </si>
  <si>
    <t xml:space="preserve">Version 1 Coverage</t>
  </si>
  <si>
    <t xml:space="preserve">Version 1 Coverage Millions of metric tons CO2e  (2019)</t>
  </si>
  <si>
    <t xml:space="preserve">Version 1 Coverage % by Type</t>
  </si>
  <si>
    <t xml:space="preserve">Energy</t>
  </si>
  <si>
    <t xml:space="preserve">Commercial Energy</t>
  </si>
  <si>
    <t xml:space="preserve">Industrial Energy</t>
  </si>
  <si>
    <t xml:space="preserve">Residential Energy</t>
  </si>
  <si>
    <t xml:space="preserve">Transportation</t>
  </si>
  <si>
    <t xml:space="preserve">On-Road Gasoline</t>
  </si>
  <si>
    <t xml:space="preserve">Distillate</t>
  </si>
  <si>
    <t xml:space="preserve">Jet Fuel</t>
  </si>
  <si>
    <t xml:space="preserve">Residual Fuel</t>
  </si>
  <si>
    <t xml:space="preserve">Other</t>
  </si>
  <si>
    <t xml:space="preserve">Electricity</t>
  </si>
  <si>
    <t xml:space="preserve">In-State Electric</t>
  </si>
  <si>
    <t xml:space="preserve">Imported Electric</t>
  </si>
  <si>
    <t xml:space="preserve">MSW Incineration</t>
  </si>
  <si>
    <t xml:space="preserve">Cryptocurrency (This is not specific NJ type but identified for potential action)</t>
  </si>
  <si>
    <t xml:space="preserve">Non-Energy</t>
  </si>
  <si>
    <t xml:space="preserve">Halogenated Gases (excl. SF6) </t>
  </si>
  <si>
    <t xml:space="preserve">SF6 (Sulfur Hexafluoride)</t>
  </si>
  <si>
    <t xml:space="preserve">Agriculture</t>
  </si>
  <si>
    <t xml:space="preserve">Natural Gas Transmission and Distribution</t>
  </si>
  <si>
    <t xml:space="preserve">Landfills</t>
  </si>
  <si>
    <t xml:space="preserve">In-State</t>
  </si>
  <si>
    <t xml:space="preserve">Out-of-State</t>
  </si>
  <si>
    <t xml:space="preserve">Industrial</t>
  </si>
  <si>
    <t xml:space="preserve">Other:</t>
  </si>
  <si>
    <t xml:space="preserve">POTWs (Publicly Owned Treatment Works)</t>
  </si>
  <si>
    <t xml:space="preserve">Released Through Land Clearing</t>
  </si>
  <si>
    <t xml:space="preserve">Other Industrial and non Fuel Related</t>
  </si>
  <si>
    <t xml:space="preserve">Total Gross Emissions</t>
  </si>
  <si>
    <t xml:space="preserve">Sequestered</t>
  </si>
  <si>
    <t xml:space="preserve">Total Net Emissions</t>
  </si>
  <si>
    <t xml:space="preserve">Reference:</t>
  </si>
  <si>
    <t xml:space="preserve">https://nj.gov/dep/aqes/ghgarchive/MCU%20GHG%20Inventory_2021.pdf</t>
  </si>
  <si>
    <t xml:space="preserve">CAUTION: Formulas &amp; Data Entry Sources vary in scenarios and cells. Be careful making any changes.</t>
  </si>
  <si>
    <t xml:space="preserve">Scenario: </t>
  </si>
  <si>
    <t xml:space="preserve">Undesirable % Target (2019 EMP gives no mandates &amp; laws)</t>
  </si>
  <si>
    <t xml:space="preserve">Possible % Target</t>
  </si>
  <si>
    <t xml:space="preserve">New York Comparison Prorated for NJ</t>
  </si>
  <si>
    <t xml:space="preserve">BE Team Specified 500K Goal 3/24/22</t>
  </si>
  <si>
    <t xml:space="preserve">“Least Cost” residential space heating 2019 EMP Technical Report</t>
  </si>
  <si>
    <t xml:space="preserve">Based on Acadia Report 2/22</t>
  </si>
  <si>
    <t xml:space="preserve">“Ambitious Pathway” per NJ BPU ratepayer study slide 3/25/22</t>
  </si>
  <si>
    <t xml:space="preserve">Older BE Team Specified 1 million Goal 3/22</t>
  </si>
  <si>
    <r>
      <rPr>
        <sz val="8"/>
        <rFont val="Arial"/>
        <family val="2"/>
        <charset val="1"/>
      </rPr>
      <t xml:space="preserve">90% Goal </t>
    </r>
    <r>
      <rPr>
        <b val="true"/>
        <sz val="8"/>
        <rFont val="Arial"/>
        <family val="2"/>
        <charset val="1"/>
      </rPr>
      <t xml:space="preserve">FOR 2050 started 2022</t>
    </r>
  </si>
  <si>
    <t xml:space="preserve">Massachusetts Comparison Prorated for NJ</t>
  </si>
  <si>
    <r>
      <rPr>
        <sz val="8"/>
        <rFont val="Arial"/>
        <family val="2"/>
        <charset val="1"/>
      </rPr>
      <t xml:space="preserve">2019 NJ EMP 90%  Goal </t>
    </r>
    <r>
      <rPr>
        <b val="true"/>
        <sz val="8"/>
        <rFont val="Arial"/>
        <family val="2"/>
        <charset val="1"/>
      </rPr>
      <t xml:space="preserve">FOR 2050 met by 2030</t>
    </r>
  </si>
  <si>
    <t xml:space="preserve">MMT saved by “cold climate” heat pump computations:</t>
  </si>
  <si>
    <t xml:space="preserve">MMT saved (without adjusting for electricity consumed)</t>
  </si>
  <si>
    <t xml:space="preserve">NA</t>
  </si>
  <si>
    <t xml:space="preserve">MMT newly generated from “cold climate” heat pump electricity</t>
  </si>
  <si>
    <t xml:space="preserve">Net MMT saved by “cold climate” heat pump</t>
  </si>
  <si>
    <t xml:space="preserve">% Residential Heating GHG Reduced</t>
  </si>
  <si>
    <t xml:space="preserve">Plausible 2030 MMT Gaps to desired % reduction of 2005 emissions:*</t>
  </si>
  <si>
    <t xml:space="preserve">% of Gap saved by BE penetration (assume “cold climate” air source heat pump drives entire savings)</t>
  </si>
  <si>
    <t xml:space="preserve">Estimated BE converted residential units by Target Year</t>
  </si>
  <si>
    <t xml:space="preserve">Required Annual converted residential units for desired year span</t>
  </si>
  <si>
    <r>
      <rPr>
        <sz val="8"/>
        <rFont val="Arial"/>
        <family val="2"/>
        <charset val="1"/>
      </rPr>
      <t xml:space="preserve">Estimated Year to complete </t>
    </r>
    <r>
      <rPr>
        <b val="true"/>
        <sz val="8"/>
        <rFont val="Arial"/>
        <family val="2"/>
        <charset val="1"/>
      </rPr>
      <t xml:space="preserve">90</t>
    </r>
    <r>
      <rPr>
        <sz val="8"/>
        <rFont val="Arial"/>
        <family val="2"/>
        <charset val="1"/>
      </rPr>
      <t xml:space="preserve">% Building Electrification; uses linear extrapolation  from start year except where noted</t>
    </r>
  </si>
  <si>
    <t xml:space="preserve">Never</t>
  </si>
  <si>
    <t xml:space="preserve">2019 Residential Energy (Heating) MMT</t>
  </si>
  <si>
    <t xml:space="preserve">Target Year</t>
  </si>
  <si>
    <t xml:space="preserve">NJ 2005 GHG Emissions (with sequestering)</t>
  </si>
  <si>
    <t xml:space="preserve">https://www.nj.gov/dep/aqes/ghgarchive/GHG%20Inventory%20Report_2009.pdf</t>
  </si>
  <si>
    <t xml:space="preserve">Desired Target % GHG Reduction</t>
  </si>
  <si>
    <t xml:space="preserve">Desired MMT GHG Target</t>
  </si>
  <si>
    <t xml:space="preserve">2030 “Eyeball” MMT Reference 2 curve 2019 NJ EMP Figure 1.2</t>
  </si>
  <si>
    <t xml:space="preserve">“Eyeball” MMT Gap Ref 2 2019 NJ EMP vs Desired MMT % Target</t>
  </si>
  <si>
    <t xml:space="preserve">Desired Starting Span from a current year to Achieve Desired BE %</t>
  </si>
  <si>
    <t xml:space="preserve">Estimated Start Year BE based on Target Year less Desired Starting Span</t>
  </si>
  <si>
    <t xml:space="preserve">Carbon Dioxide Metric Tons per Therm Natural Gas</t>
  </si>
  <si>
    <t xml:space="preserve">https://www.epa.gov/energy/greenhouse-gases-equivalencies-calculator-calculations-and-references#:~:text=Carbon%20dioxide%20emissions%20per%20therm%20can%20be%20converted,x%2010.36%20therms%2FMcf%20%3D%200.0548%20metric%20tons%20CO2%2FMcf</t>
  </si>
  <si>
    <t xml:space="preserve">Assumed HSPF for New Jersey “cold climate” heat pump</t>
  </si>
  <si>
    <t xml:space="preserve">Based on average of HSPF=9 &amp; 10 offered for NJ rebates at JCP&amp;L website Jan, 2022</t>
  </si>
  <si>
    <t xml:space="preserve">New Jersey 2020 Electricity Generation (MWH)</t>
  </si>
  <si>
    <t xml:space="preserve">https://www.eia.gov/electricity/state/newjersey/</t>
  </si>
  <si>
    <t xml:space="preserve">NJ 2020 CO2 Emissions for Electricity (thousand metric tons)</t>
  </si>
  <si>
    <t xml:space="preserve">CO2 pounds per MWH</t>
  </si>
  <si>
    <t xml:space="preserve">492 for NJ for 2017 per separate ref;  850 nationally from https://www.eia.gov/tools/faqs/faq.php?id=74&amp;t=11</t>
  </si>
  <si>
    <t xml:space="preserve">Pounds per Metric Ton</t>
  </si>
  <si>
    <t xml:space="preserve">“cold climate” heat pump MMT saved over MMT electricity (RPS) used – for target year</t>
  </si>
  <si>
    <t xml:space="preserve">Enter user appropriate value for user locale &amp; data; default here is via reference from the Residential Energy  tab of NJ GHG reduction model</t>
  </si>
  <si>
    <t xml:space="preserve">NJ Residential Units</t>
  </si>
  <si>
    <t xml:space="preserve">https://www.census.gov/library/stories/state-by-state/new-jersey-population-change-between-census-decade.html</t>
  </si>
  <si>
    <t xml:space="preserve">Est residential units converted by 2030 sought by Acadia Report:</t>
  </si>
  <si>
    <t xml:space="preserve">https://acadiacenter.org/resource/the-future-is-electric/  “NJBPU together with other agencies should set new goals to convert all homes with costly electric resistance, oil or propane heating to electric heat pumps by 2030, as well as at least 20% of homes with fossil gas heating systems”</t>
  </si>
  <si>
    <t xml:space="preserve">Natural Gas % Sought by 2030</t>
  </si>
  <si>
    <t xml:space="preserve">Propane % sought by 2030</t>
  </si>
  <si>
    <t xml:space="preserve">Oil % sought by 2030</t>
  </si>
  <si>
    <t xml:space="preserve">Electrical Resistance % sought by 2030</t>
  </si>
  <si>
    <t xml:space="preserve">100%, But NA for this analysis</t>
  </si>
  <si>
    <t xml:space="preserve">NOT covered in the above table target percentages because these emissions are not included in the NJ residential space heating category (NJ treats them under electricity)</t>
  </si>
  <si>
    <t xml:space="preserve">Natural Gas Est % Existing Residential Units</t>
  </si>
  <si>
    <r>
      <rPr>
        <sz val="8"/>
        <rFont val="Arial"/>
        <family val="2"/>
        <charset val="1"/>
      </rPr>
      <t xml:space="preserve">From same Acadia report: “….</t>
    </r>
    <r>
      <rPr>
        <sz val="9"/>
        <color rgb="FF004371"/>
        <rFont val="TradeGothicNextSRPro-Cn"/>
        <family val="2"/>
        <charset val="1"/>
      </rPr>
      <t xml:space="preserve">87% of residential buildings and 82% of commercial buildings relying
predominantly on natural gas. About 10% of residential households rely on fuel oil
or propane”</t>
    </r>
  </si>
  <si>
    <t xml:space="preserve">Oil &amp; Propane Est  % Existing Residential Units</t>
  </si>
  <si>
    <t xml:space="preserve">Other heating source</t>
  </si>
  <si>
    <t xml:space="preserve">Imputed from prior two rows</t>
  </si>
  <si>
    <t xml:space="preserve">Assumes Acadia percentages above only apply to buildings burning fossil fuels (i.e. excludes elecrical resistance, solely solar, etc). Est.   Acadia Percentage NJ Residences excluding other Sought by 2030</t>
  </si>
  <si>
    <t xml:space="preserve">A component of this formula treats both oil &amp; natural gas at 100% conversion for 2030</t>
  </si>
  <si>
    <t xml:space="preserve">Estimated % electricity NJ residences</t>
  </si>
  <si>
    <t xml:space="preserve">https://www.eia.gov/state/?sid=NJ </t>
  </si>
  <si>
    <t xml:space="preserve">Adjusted Est. Acadia target conversion percentage for ALL residences including electrical resistance</t>
  </si>
  <si>
    <t xml:space="preserve">Brattle Proposed NJ BPU rate payer study 3/25/22 Step 1 Key Assumption Scenarios:</t>
  </si>
  <si>
    <t xml:space="preserve">Ambitious Pathway YOY gas decline 2020 to 2030</t>
  </si>
  <si>
    <t xml:space="preserve">Assumed years per above statement</t>
  </si>
  <si>
    <t xml:space="preserve">Est Residential Heating Cumulative Decline MMT Result</t>
  </si>
  <si>
    <t xml:space="preserve">Assumes 2019 figure as starting point for N years</t>
  </si>
  <si>
    <t xml:space="preserve">% Ambitious Pathway Decline in MMT</t>
  </si>
  <si>
    <t xml:space="preserve">Assumed equivalent to extent of Building Electrification needed</t>
  </si>
  <si>
    <t xml:space="preserve">New York comparison:</t>
  </si>
  <si>
    <t xml:space="preserve">Note:  Table above  uses conversion to NJ GHG emissions</t>
  </si>
  <si>
    <t xml:space="preserve">Number of residences sought electrified by 2030</t>
  </si>
  <si>
    <t xml:space="preserve">https://www.nyserda.ny.gov/About/Newsroom/2022-Announcements/2022-01-05-Governor-Hochul-Announces-Plan-to-Achieve-2-Million-Climate-Friendly-Homes-By-2030</t>
  </si>
  <si>
    <t xml:space="preserve">NY residences (2020 census)</t>
  </si>
  <si>
    <t xml:space="preserve">% electrified</t>
  </si>
  <si>
    <t xml:space="preserve">Massachusetts comparison:</t>
  </si>
  <si>
    <t xml:space="preserve">https://www.mass.gov/doc/interim-clean-energy-and-climate-plan-for-2030-december-30-2020/download</t>
  </si>
  <si>
    <t xml:space="preserve">Table 1: Range of GHG reductions estimated for the full and timely implementation of strategies and policy actions outlined in the 2030 CECP </t>
  </si>
  <si>
    <t xml:space="preserve">Note:  This is presumably NOT A GAP, but rather their anticipated plan based on strategies and policy actions</t>
  </si>
  <si>
    <t xml:space="preserve">2017 Building MMT</t>
  </si>
  <si>
    <t xml:space="preserve">2030 Building MMT</t>
  </si>
  <si>
    <t xml:space="preserve">Average Est. BE Mass. MMT reduction per year assumed to apply to 2030</t>
  </si>
  <si>
    <t xml:space="preserve">Mass population 2020</t>
  </si>
  <si>
    <t xml:space="preserve">NJ population 2020</t>
  </si>
  <si>
    <t xml:space="preserve">Est. BE NJ MMT reduction per year adjusted for NJ vs Mass population using Mass basis assumed to apply to 2030</t>
  </si>
  <si>
    <t xml:space="preserve">Other factors, e.g. relative temperatures between Mass &amp; NJ, are not considered here, nor are economic factors.</t>
  </si>
  <si>
    <t xml:space="preserve">Est BE MMT reduction achieved in NJ following Mass glide path over span considered above to 2030</t>
  </si>
  <si>
    <t xml:space="preserve">NOTES:</t>
  </si>
  <si>
    <t xml:space="preserve">For the purposes of this spreadsheet, Building Electrification percentages are assumed to also apply to the need to convert electrical resistance heated residences to high efficiency heating such as “cold climate” heat pumps.</t>
  </si>
  <si>
    <t xml:space="preserve">Assumption in above that Energy=Heating, including all forms of heating such as fossil fuel HVAC, dryers, stoves &amp; hot water heaters</t>
  </si>
  <si>
    <t xml:space="preserve">*Hypothetical Possible Gaps between 50% of 2005 emissions &amp; NJ 2019 EMP Figure 1.2 Reference 2 curve</t>
  </si>
  <si>
    <t xml:space="preserve">Other gap figures are as eyeballed from NJ 2019 EMP Figure 1.2, with possible increments of 2 MMT</t>
  </si>
  <si>
    <t xml:space="preserve">This chart is NOT a projection, but rather a comparison tool that could be used to help set BE objectives</t>
  </si>
  <si>
    <t xml:space="preserve">Because the NJ 2019 EMP states aggressive Building Electrification starts in 2030, thus any meaningful projection based on laws, mandates or rules STARTS at zero in 2030, not some other year.</t>
  </si>
  <si>
    <t xml:space="preserve">See Page 160 of the 2019 NJ Energy Master Plan re Building Decarbonization (at link further below):</t>
  </si>
  <si>
    <t xml:space="preserve">“ [certain modeled] scenarios assumed that buildings began to be retrofitted and electrified aggressively starting in 2030, so that 90% of building water and space heating was powered by electricity in 2050.”</t>
  </si>
  <si>
    <t xml:space="preserve">This chart does not address the considerable NJ “Commercial Energy” (i.e. heating) category.</t>
  </si>
  <si>
    <t xml:space="preserve">Integrated Energy Plan Least cost column % obtained from page 44 LOW COST residential space heating; see:</t>
  </si>
  <si>
    <t xml:space="preserve">https://nj.gov/emp/pdf/New_Jersey_2019_IEP_Technical_Appendix.pdf</t>
  </si>
  <si>
    <t xml:space="preserve">Deflator</t>
  </si>
  <si>
    <t xml:space="preserve">Years</t>
  </si>
  <si>
    <t xml:space="preserve">Year</t>
  </si>
  <si>
    <t xml:space="preserve">End of Year Result</t>
  </si>
  <si>
    <t xml:space="preserve">Starting Value</t>
  </si>
  <si>
    <t xml:space="preserve">2020 NJ Energy Management Plan GHG Reduction Chart:</t>
  </si>
  <si>
    <t xml:space="preserve">https://www.nj.gov/emp/docs/pdf/2020_NJBPU_EMP.pdf</t>
  </si>
  <si>
    <t xml:space="preserve">2019 Emissions Bar Chart:</t>
  </si>
</sst>
</file>

<file path=xl/styles.xml><?xml version="1.0" encoding="utf-8"?>
<styleSheet xmlns="http://schemas.openxmlformats.org/spreadsheetml/2006/main">
  <numFmts count="10">
    <numFmt numFmtId="164" formatCode="General"/>
    <numFmt numFmtId="165" formatCode="0.0%"/>
    <numFmt numFmtId="166" formatCode="0.0"/>
    <numFmt numFmtId="167" formatCode="#,##0"/>
    <numFmt numFmtId="168" formatCode="0"/>
    <numFmt numFmtId="169" formatCode="0.00"/>
    <numFmt numFmtId="170" formatCode="0%"/>
    <numFmt numFmtId="171" formatCode="#,##0.0"/>
    <numFmt numFmtId="172" formatCode="General"/>
    <numFmt numFmtId="173" formatCode="0.000"/>
  </numFmts>
  <fonts count="11">
    <font>
      <sz val="10"/>
      <name val="Arial"/>
      <family val="2"/>
      <charset val="1"/>
    </font>
    <font>
      <sz val="10"/>
      <name val="Arial"/>
      <family val="0"/>
    </font>
    <font>
      <sz val="10"/>
      <name val="Arial"/>
      <family val="0"/>
    </font>
    <font>
      <sz val="10"/>
      <name val="Arial"/>
      <family val="0"/>
    </font>
    <font>
      <sz val="8"/>
      <name val="Arial"/>
      <family val="2"/>
      <charset val="1"/>
    </font>
    <font>
      <b val="true"/>
      <sz val="8"/>
      <name val="Arial"/>
      <family val="2"/>
      <charset val="1"/>
    </font>
    <font>
      <sz val="8"/>
      <color rgb="FFC9211E"/>
      <name val="Arial"/>
      <family val="2"/>
      <charset val="1"/>
    </font>
    <font>
      <sz val="8"/>
      <color rgb="FF004371"/>
      <name val="Arial"/>
      <family val="2"/>
      <charset val="1"/>
    </font>
    <font>
      <sz val="9"/>
      <color rgb="FF004371"/>
      <name val="TradeGothicNextSRPro-Cn"/>
      <family val="2"/>
      <charset val="1"/>
    </font>
    <font>
      <sz val="10"/>
      <color rgb="FF0000FF"/>
      <name val="Arial"/>
      <family val="2"/>
      <charset val="1"/>
    </font>
    <font>
      <sz val="8"/>
      <color rgb="FF0000FF"/>
      <name val="Arial"/>
      <family val="2"/>
      <charset val="1"/>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6"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6" fillId="0" borderId="1" xfId="0" applyFont="true" applyBorder="true" applyAlignment="true" applyProtection="false">
      <alignment horizontal="general" vertical="top" textRotation="0" wrapText="false" indent="0" shrinkToFit="false"/>
      <protection locked="true" hidden="false"/>
    </xf>
    <xf numFmtId="165" fontId="5" fillId="0" borderId="1" xfId="0" applyFont="true" applyBorder="true" applyAlignment="true" applyProtection="false">
      <alignment horizontal="general" vertical="top" textRotation="0" wrapText="true" indent="0" shrinkToFit="false"/>
      <protection locked="true" hidden="false"/>
    </xf>
    <xf numFmtId="167" fontId="4" fillId="0" borderId="1" xfId="0" applyFont="true" applyBorder="true" applyAlignment="true" applyProtection="false">
      <alignment horizontal="general" vertical="top" textRotation="0" wrapText="true" indent="0" shrinkToFit="false"/>
      <protection locked="true" hidden="false"/>
    </xf>
    <xf numFmtId="168" fontId="4" fillId="0" borderId="1" xfId="0" applyFont="true" applyBorder="true" applyAlignment="true" applyProtection="false">
      <alignment horizontal="general" vertical="top" textRotation="0" wrapText="true" indent="0" shrinkToFit="false"/>
      <protection locked="true" hidden="false"/>
    </xf>
    <xf numFmtId="169" fontId="4" fillId="0" borderId="1" xfId="0" applyFont="true" applyBorder="true" applyAlignment="true" applyProtection="false">
      <alignment horizontal="general" vertical="top" textRotation="0" wrapText="true" indent="0" shrinkToFit="false"/>
      <protection locked="true" hidden="false"/>
    </xf>
    <xf numFmtId="170" fontId="4" fillId="0" borderId="1" xfId="0" applyFont="true" applyBorder="true" applyAlignment="true" applyProtection="false">
      <alignment horizontal="general" vertical="top" textRotation="0" wrapText="true" indent="0" shrinkToFit="false"/>
      <protection locked="true" hidden="false"/>
    </xf>
    <xf numFmtId="166" fontId="4" fillId="0" borderId="0" xfId="0" applyFont="true" applyBorder="fals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false" indent="0" shrinkToFit="false"/>
      <protection locked="true" hidden="false"/>
    </xf>
    <xf numFmtId="166" fontId="4" fillId="0" borderId="0" xfId="0" applyFont="true" applyBorder="true" applyAlignment="true" applyProtection="false">
      <alignment horizontal="general" vertical="top" textRotation="0" wrapText="false" indent="0" shrinkToFit="false"/>
      <protection locked="true" hidden="false"/>
    </xf>
    <xf numFmtId="171" fontId="4" fillId="0" borderId="1"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top" textRotation="0" wrapText="false" indent="0" shrinkToFit="false"/>
      <protection locked="true" hidden="false"/>
    </xf>
    <xf numFmtId="169" fontId="4" fillId="0" borderId="1"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4371"/>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38</xdr:row>
      <xdr:rowOff>107280</xdr:rowOff>
    </xdr:from>
    <xdr:to>
      <xdr:col>10</xdr:col>
      <xdr:colOff>281520</xdr:colOff>
      <xdr:row>72</xdr:row>
      <xdr:rowOff>127800</xdr:rowOff>
    </xdr:to>
    <xdr:pic>
      <xdr:nvPicPr>
        <xdr:cNvPr id="0" name="Image 1" descr=""/>
        <xdr:cNvPicPr/>
      </xdr:nvPicPr>
      <xdr:blipFill>
        <a:blip r:embed="rId1"/>
        <a:stretch/>
      </xdr:blipFill>
      <xdr:spPr>
        <a:xfrm>
          <a:off x="0" y="6284520"/>
          <a:ext cx="9069840" cy="5547600"/>
        </a:xfrm>
        <a:prstGeom prst="rect">
          <a:avLst/>
        </a:prstGeom>
        <a:ln w="0">
          <a:noFill/>
        </a:ln>
      </xdr:spPr>
    </xdr:pic>
    <xdr:clientData/>
  </xdr:twoCellAnchor>
  <xdr:twoCellAnchor editAs="absolute">
    <xdr:from>
      <xdr:col>0</xdr:col>
      <xdr:colOff>14040</xdr:colOff>
      <xdr:row>2</xdr:row>
      <xdr:rowOff>141120</xdr:rowOff>
    </xdr:from>
    <xdr:to>
      <xdr:col>10</xdr:col>
      <xdr:colOff>348480</xdr:colOff>
      <xdr:row>33</xdr:row>
      <xdr:rowOff>149040</xdr:rowOff>
    </xdr:to>
    <xdr:pic>
      <xdr:nvPicPr>
        <xdr:cNvPr id="1" name="Image 2" descr=""/>
        <xdr:cNvPicPr/>
      </xdr:nvPicPr>
      <xdr:blipFill>
        <a:blip r:embed="rId2"/>
        <a:stretch/>
      </xdr:blipFill>
      <xdr:spPr>
        <a:xfrm>
          <a:off x="14040" y="466200"/>
          <a:ext cx="9122760" cy="5047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27720</xdr:colOff>
      <xdr:row>4</xdr:row>
      <xdr:rowOff>99000</xdr:rowOff>
    </xdr:from>
    <xdr:to>
      <xdr:col>13</xdr:col>
      <xdr:colOff>182880</xdr:colOff>
      <xdr:row>44</xdr:row>
      <xdr:rowOff>7920</xdr:rowOff>
    </xdr:to>
    <xdr:pic>
      <xdr:nvPicPr>
        <xdr:cNvPr id="2" name="Image 3" descr=""/>
        <xdr:cNvPicPr/>
      </xdr:nvPicPr>
      <xdr:blipFill>
        <a:blip r:embed="rId1"/>
        <a:stretch/>
      </xdr:blipFill>
      <xdr:spPr>
        <a:xfrm>
          <a:off x="27720" y="749160"/>
          <a:ext cx="10969200" cy="6411240"/>
        </a:xfrm>
        <a:prstGeom prst="rect">
          <a:avLst/>
        </a:prstGeom>
        <a:ln w="0">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hyperlink" Target="https://acadiacenter.org/resource/the-future-is-electric/" TargetMode="External"/><Relationship Id="rId2" Type="http://schemas.openxmlformats.org/officeDocument/2006/relationships/hyperlink" Target="https://www.eia.gov/state/?sid=NJ" TargetMode="External"/><Relationship Id="rId3" Type="http://schemas.openxmlformats.org/officeDocument/2006/relationships/hyperlink" Target="https://www.mass.gov/doc/interim-clean-energy-and-climate-plan-for-2030-december-30-2020/download" TargetMode="External"/>
</Relationships>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4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24" activeCellId="0" sqref="E24"/>
    </sheetView>
  </sheetViews>
  <sheetFormatPr defaultColWidth="11.58984375" defaultRowHeight="12.8" zeroHeight="false" outlineLevelRow="0" outlineLevelCol="0"/>
  <cols>
    <col collapsed="false" customWidth="true" hidden="false" outlineLevel="0" max="1" min="1" style="1" width="24.02"/>
    <col collapsed="false" customWidth="true" hidden="false" outlineLevel="0" max="2" min="2" style="1" width="7.8"/>
    <col collapsed="false" customWidth="true" hidden="false" outlineLevel="0" max="3" min="3" style="1" width="7.68"/>
    <col collapsed="false" customWidth="true" hidden="false" outlineLevel="0" max="4" min="4" style="1" width="7.87"/>
    <col collapsed="false" customWidth="true" hidden="false" outlineLevel="0" max="5" min="5" style="1" width="9.93"/>
    <col collapsed="false" customWidth="true" hidden="false" outlineLevel="0" max="6" min="6" style="1" width="7.28"/>
    <col collapsed="false" customWidth="false" hidden="false" outlineLevel="0" max="1015" min="7" style="2" width="11.57"/>
  </cols>
  <sheetData>
    <row r="1" customFormat="false" ht="48.15" hidden="false" customHeight="false" outlineLevel="0" collapsed="false">
      <c r="A1" s="3" t="s">
        <v>0</v>
      </c>
      <c r="B1" s="3" t="s">
        <v>1</v>
      </c>
      <c r="C1" s="3" t="s">
        <v>2</v>
      </c>
      <c r="D1" s="3" t="s">
        <v>3</v>
      </c>
      <c r="E1" s="3" t="s">
        <v>4</v>
      </c>
      <c r="F1" s="3" t="s">
        <v>5</v>
      </c>
      <c r="G1" s="0"/>
    </row>
    <row r="2" customFormat="false" ht="12.8" hidden="false" customHeight="false" outlineLevel="0" collapsed="false">
      <c r="A2" s="3"/>
      <c r="B2" s="3"/>
      <c r="C2" s="3"/>
      <c r="D2" s="3"/>
      <c r="E2" s="3"/>
      <c r="F2" s="3"/>
    </row>
    <row r="3" customFormat="false" ht="12.8" hidden="false" customHeight="false" outlineLevel="0" collapsed="false">
      <c r="A3" s="4" t="s">
        <v>6</v>
      </c>
      <c r="B3" s="3"/>
      <c r="C3" s="5" t="n">
        <f aca="false">SUM(B4:B6)/$B$39</f>
        <v>0.289224952741021</v>
      </c>
      <c r="D3" s="3"/>
      <c r="E3" s="3"/>
      <c r="F3" s="3"/>
    </row>
    <row r="4" customFormat="false" ht="12.8" hidden="false" customHeight="false" outlineLevel="0" collapsed="false">
      <c r="A4" s="3" t="s">
        <v>7</v>
      </c>
      <c r="B4" s="3" t="n">
        <v>10.8</v>
      </c>
      <c r="C4" s="6" t="n">
        <f aca="false">B4/$B$39</f>
        <v>0.102079395085066</v>
      </c>
      <c r="D4" s="6" t="n">
        <f aca="false">C4</f>
        <v>0.102079395085066</v>
      </c>
      <c r="E4" s="3" t="n">
        <f aca="false">B4</f>
        <v>10.8</v>
      </c>
      <c r="F4" s="6" t="n">
        <f aca="false">D4/$D$39</f>
        <v>0.130909090909091</v>
      </c>
    </row>
    <row r="5" customFormat="false" ht="12.8" hidden="false" customHeight="false" outlineLevel="0" collapsed="false">
      <c r="A5" s="3" t="s">
        <v>8</v>
      </c>
      <c r="B5" s="3" t="n">
        <v>5.2</v>
      </c>
      <c r="C5" s="6"/>
      <c r="D5" s="6"/>
      <c r="E5" s="3"/>
      <c r="F5" s="6"/>
    </row>
    <row r="6" customFormat="false" ht="12.8" hidden="false" customHeight="false" outlineLevel="0" collapsed="false">
      <c r="A6" s="3" t="s">
        <v>9</v>
      </c>
      <c r="B6" s="3" t="n">
        <v>14.6</v>
      </c>
      <c r="C6" s="6" t="n">
        <f aca="false">B6/$B$39</f>
        <v>0.137996219281664</v>
      </c>
      <c r="D6" s="6" t="n">
        <f aca="false">C6</f>
        <v>0.137996219281664</v>
      </c>
      <c r="E6" s="3" t="n">
        <f aca="false">B6</f>
        <v>14.6</v>
      </c>
      <c r="F6" s="6" t="n">
        <f aca="false">D6/$D$39</f>
        <v>0.176969696969697</v>
      </c>
    </row>
    <row r="7" customFormat="false" ht="12.8" hidden="false" customHeight="false" outlineLevel="0" collapsed="false">
      <c r="A7" s="3"/>
      <c r="B7" s="3"/>
      <c r="C7" s="3"/>
      <c r="D7" s="3"/>
      <c r="E7" s="3"/>
      <c r="F7" s="3"/>
    </row>
    <row r="8" customFormat="false" ht="12.8" hidden="false" customHeight="false" outlineLevel="0" collapsed="false">
      <c r="A8" s="4" t="s">
        <v>10</v>
      </c>
      <c r="B8" s="3"/>
      <c r="C8" s="5" t="n">
        <f aca="false">SUM(B9:B13)/$B$39</f>
        <v>0.378071833648393</v>
      </c>
      <c r="D8" s="3"/>
      <c r="E8" s="3"/>
      <c r="F8" s="3"/>
    </row>
    <row r="9" customFormat="false" ht="12.8" hidden="false" customHeight="false" outlineLevel="0" collapsed="false">
      <c r="A9" s="3" t="s">
        <v>11</v>
      </c>
      <c r="B9" s="3" t="n">
        <v>28.6</v>
      </c>
      <c r="C9" s="6" t="n">
        <f aca="false">B9/$B$39</f>
        <v>0.270321361058601</v>
      </c>
      <c r="D9" s="6" t="n">
        <f aca="false">C9</f>
        <v>0.270321361058601</v>
      </c>
      <c r="E9" s="3" t="n">
        <f aca="false">B9</f>
        <v>28.6</v>
      </c>
      <c r="F9" s="6" t="n">
        <f aca="false">D9/$D$39</f>
        <v>0.346666666666667</v>
      </c>
    </row>
    <row r="10" customFormat="false" ht="12.8" hidden="false" customHeight="false" outlineLevel="0" collapsed="false">
      <c r="A10" s="3" t="s">
        <v>12</v>
      </c>
      <c r="B10" s="3" t="n">
        <v>8</v>
      </c>
      <c r="C10" s="6" t="n">
        <f aca="false">B10/$B$39</f>
        <v>0.0756143667296786</v>
      </c>
      <c r="D10" s="6" t="n">
        <f aca="false">C10</f>
        <v>0.0756143667296786</v>
      </c>
      <c r="E10" s="3" t="n">
        <f aca="false">B10</f>
        <v>8</v>
      </c>
      <c r="F10" s="6" t="n">
        <f aca="false">D10/$D$39</f>
        <v>0.096969696969697</v>
      </c>
    </row>
    <row r="11" customFormat="false" ht="12.8" hidden="false" customHeight="false" outlineLevel="0" collapsed="false">
      <c r="A11" s="3" t="s">
        <v>13</v>
      </c>
      <c r="B11" s="3" t="n">
        <v>1</v>
      </c>
      <c r="C11" s="6" t="n">
        <f aca="false">B11/$B$39</f>
        <v>0.00945179584120983</v>
      </c>
      <c r="D11" s="3"/>
      <c r="E11" s="3"/>
      <c r="F11" s="3"/>
    </row>
    <row r="12" customFormat="false" ht="12.8" hidden="false" customHeight="false" outlineLevel="0" collapsed="false">
      <c r="A12" s="3" t="s">
        <v>14</v>
      </c>
      <c r="B12" s="3" t="n">
        <v>2.1</v>
      </c>
      <c r="C12" s="6" t="n">
        <f aca="false">B12/$B$39</f>
        <v>0.0198487712665406</v>
      </c>
      <c r="D12" s="6" t="n">
        <f aca="false">C12</f>
        <v>0.0198487712665406</v>
      </c>
      <c r="E12" s="6" t="n">
        <f aca="false">D12</f>
        <v>0.0198487712665406</v>
      </c>
      <c r="F12" s="6" t="n">
        <f aca="false">E12</f>
        <v>0.0198487712665406</v>
      </c>
    </row>
    <row r="13" customFormat="false" ht="12.8" hidden="false" customHeight="false" outlineLevel="0" collapsed="false">
      <c r="A13" s="3" t="s">
        <v>15</v>
      </c>
      <c r="B13" s="3" t="n">
        <v>0.3</v>
      </c>
      <c r="C13" s="6" t="n">
        <f aca="false">B13/$B$39</f>
        <v>0.00283553875236295</v>
      </c>
      <c r="D13" s="3"/>
      <c r="E13" s="3"/>
      <c r="F13" s="3"/>
    </row>
    <row r="14" customFormat="false" ht="12.8" hidden="false" customHeight="false" outlineLevel="0" collapsed="false">
      <c r="A14" s="3"/>
      <c r="B14" s="3"/>
      <c r="C14" s="3"/>
      <c r="D14" s="3"/>
      <c r="E14" s="3"/>
      <c r="F14" s="3"/>
    </row>
    <row r="15" customFormat="false" ht="12.8" hidden="false" customHeight="false" outlineLevel="0" collapsed="false">
      <c r="A15" s="4" t="s">
        <v>16</v>
      </c>
      <c r="B15" s="3"/>
      <c r="C15" s="5" t="n">
        <f aca="false">SUM(B16:B19)/$B$39</f>
        <v>0.181474480151229</v>
      </c>
      <c r="D15" s="3"/>
      <c r="E15" s="3"/>
      <c r="F15" s="3"/>
    </row>
    <row r="16" customFormat="false" ht="12.8" hidden="false" customHeight="false" outlineLevel="0" collapsed="false">
      <c r="A16" s="3" t="s">
        <v>17</v>
      </c>
      <c r="B16" s="3" t="n">
        <v>17.3</v>
      </c>
      <c r="C16" s="6" t="n">
        <f aca="false">B16/$B$39</f>
        <v>0.16351606805293</v>
      </c>
      <c r="D16" s="6" t="n">
        <f aca="false">C16</f>
        <v>0.16351606805293</v>
      </c>
      <c r="E16" s="3" t="n">
        <f aca="false">B16</f>
        <v>17.3</v>
      </c>
      <c r="F16" s="6" t="n">
        <f aca="false">D16/$D$39</f>
        <v>0.20969696969697</v>
      </c>
    </row>
    <row r="17" customFormat="false" ht="12.8" hidden="false" customHeight="false" outlineLevel="0" collapsed="false">
      <c r="A17" s="3" t="s">
        <v>18</v>
      </c>
      <c r="B17" s="3" t="n">
        <v>1.1</v>
      </c>
      <c r="C17" s="6" t="n">
        <f aca="false">B17/$B$39</f>
        <v>0.0103969754253308</v>
      </c>
      <c r="D17" s="6" t="n">
        <f aca="false">C17</f>
        <v>0.0103969754253308</v>
      </c>
      <c r="E17" s="3" t="n">
        <f aca="false">B17</f>
        <v>1.1</v>
      </c>
      <c r="F17" s="6" t="n">
        <f aca="false">D17/$D$39</f>
        <v>0.0133333333333333</v>
      </c>
    </row>
    <row r="18" customFormat="false" ht="12.8" hidden="false" customHeight="false" outlineLevel="0" collapsed="false">
      <c r="A18" s="3" t="s">
        <v>19</v>
      </c>
      <c r="B18" s="3" t="n">
        <v>0.8</v>
      </c>
      <c r="C18" s="6" t="n">
        <f aca="false">B18/$B$39</f>
        <v>0.00756143667296786</v>
      </c>
      <c r="D18" s="3"/>
      <c r="E18" s="3"/>
      <c r="F18" s="3"/>
    </row>
    <row r="19" customFormat="false" ht="32.75" hidden="false" customHeight="true" outlineLevel="0" collapsed="false">
      <c r="A19" s="3" t="s">
        <v>20</v>
      </c>
      <c r="B19" s="3"/>
      <c r="C19" s="6"/>
      <c r="D19" s="3"/>
      <c r="E19" s="3"/>
      <c r="F19" s="3"/>
    </row>
    <row r="20" customFormat="false" ht="12.8" hidden="false" customHeight="false" outlineLevel="0" collapsed="false">
      <c r="A20" s="3"/>
      <c r="B20" s="3"/>
      <c r="C20" s="3"/>
      <c r="D20" s="3"/>
      <c r="E20" s="3"/>
      <c r="F20" s="3"/>
    </row>
    <row r="21" customFormat="false" ht="12.8" hidden="false" customHeight="false" outlineLevel="0" collapsed="false">
      <c r="A21" s="4" t="s">
        <v>21</v>
      </c>
      <c r="B21" s="3"/>
      <c r="C21" s="5" t="n">
        <f aca="false">SUM(B22:B25)/$B$39</f>
        <v>0.0746691871455577</v>
      </c>
      <c r="D21" s="3"/>
      <c r="E21" s="3"/>
      <c r="F21" s="3"/>
    </row>
    <row r="22" customFormat="false" ht="12.8" hidden="false" customHeight="false" outlineLevel="0" collapsed="false">
      <c r="A22" s="3" t="s">
        <v>22</v>
      </c>
      <c r="B22" s="3" t="n">
        <v>5.2</v>
      </c>
      <c r="C22" s="6" t="n">
        <f aca="false">B22/$B$39</f>
        <v>0.0491493383742911</v>
      </c>
      <c r="D22" s="3"/>
      <c r="E22" s="3"/>
      <c r="F22" s="3"/>
    </row>
    <row r="23" customFormat="false" ht="12.8" hidden="false" customHeight="false" outlineLevel="0" collapsed="false">
      <c r="A23" s="3" t="s">
        <v>23</v>
      </c>
      <c r="B23" s="3" t="n">
        <v>0.1</v>
      </c>
      <c r="C23" s="6" t="n">
        <f aca="false">B23/$B$39</f>
        <v>0.000945179584120983</v>
      </c>
      <c r="D23" s="3"/>
      <c r="E23" s="3"/>
      <c r="F23" s="3"/>
    </row>
    <row r="24" customFormat="false" ht="12.8" hidden="false" customHeight="false" outlineLevel="0" collapsed="false">
      <c r="A24" s="3" t="s">
        <v>24</v>
      </c>
      <c r="B24" s="3" t="n">
        <v>0.3</v>
      </c>
      <c r="C24" s="6" t="n">
        <f aca="false">B24/$B$39</f>
        <v>0.00283553875236295</v>
      </c>
      <c r="D24" s="3"/>
      <c r="E24" s="3"/>
      <c r="F24" s="3"/>
    </row>
    <row r="25" customFormat="false" ht="19.25" hidden="false" customHeight="false" outlineLevel="0" collapsed="false">
      <c r="A25" s="3" t="s">
        <v>25</v>
      </c>
      <c r="B25" s="3" t="n">
        <v>2.3</v>
      </c>
      <c r="C25" s="6" t="n">
        <f aca="false">B25/$B$39</f>
        <v>0.0217391304347826</v>
      </c>
      <c r="D25" s="3"/>
      <c r="E25" s="3"/>
      <c r="F25" s="3"/>
    </row>
    <row r="26" customFormat="false" ht="12.8" hidden="false" customHeight="false" outlineLevel="0" collapsed="false">
      <c r="A26" s="3"/>
      <c r="B26" s="3"/>
      <c r="C26" s="3"/>
      <c r="D26" s="3"/>
      <c r="E26" s="3"/>
      <c r="F26" s="3"/>
    </row>
    <row r="27" customFormat="false" ht="12.8" hidden="false" customHeight="false" outlineLevel="0" collapsed="false">
      <c r="A27" s="4" t="s">
        <v>26</v>
      </c>
      <c r="B27" s="3"/>
      <c r="C27" s="5" t="n">
        <f aca="false">SUM(B28:B30)/$B$39</f>
        <v>0.054820415879017</v>
      </c>
      <c r="D27" s="3"/>
      <c r="E27" s="3"/>
      <c r="F27" s="3"/>
      <c r="G27" s="0"/>
    </row>
    <row r="28" customFormat="false" ht="12.8" hidden="false" customHeight="false" outlineLevel="0" collapsed="false">
      <c r="A28" s="3" t="s">
        <v>27</v>
      </c>
      <c r="B28" s="3" t="n">
        <v>3.4</v>
      </c>
      <c r="C28" s="6" t="n">
        <f aca="false">B28/$B$39</f>
        <v>0.0321361058601134</v>
      </c>
      <c r="D28" s="3"/>
      <c r="E28" s="3"/>
      <c r="F28" s="3"/>
    </row>
    <row r="29" customFormat="false" ht="12.8" hidden="false" customHeight="false" outlineLevel="0" collapsed="false">
      <c r="A29" s="3" t="s">
        <v>28</v>
      </c>
      <c r="B29" s="3" t="n">
        <v>2.2</v>
      </c>
      <c r="C29" s="6" t="n">
        <f aca="false">B29/$B$39</f>
        <v>0.0207939508506616</v>
      </c>
      <c r="D29" s="3"/>
      <c r="E29" s="3"/>
      <c r="F29" s="3"/>
    </row>
    <row r="30" customFormat="false" ht="12.8" hidden="false" customHeight="false" outlineLevel="0" collapsed="false">
      <c r="A30" s="3" t="s">
        <v>29</v>
      </c>
      <c r="B30" s="3" t="n">
        <v>0.2</v>
      </c>
      <c r="C30" s="6" t="n">
        <f aca="false">B30/$B$39</f>
        <v>0.00189035916824197</v>
      </c>
      <c r="D30" s="3"/>
      <c r="E30" s="3"/>
      <c r="F30" s="3"/>
    </row>
    <row r="31" customFormat="false" ht="12.8" hidden="false" customHeight="false" outlineLevel="0" collapsed="false">
      <c r="A31" s="3"/>
      <c r="B31" s="3"/>
      <c r="C31" s="3"/>
      <c r="D31" s="3"/>
      <c r="E31" s="3"/>
      <c r="F31" s="3"/>
    </row>
    <row r="32" customFormat="false" ht="12.8" hidden="false" customHeight="false" outlineLevel="0" collapsed="false">
      <c r="A32" s="4" t="s">
        <v>30</v>
      </c>
      <c r="B32" s="3"/>
      <c r="C32" s="5" t="n">
        <f aca="false">SUM(B33:B37)/$B$39</f>
        <v>0.0217391304347826</v>
      </c>
      <c r="D32" s="3"/>
      <c r="E32" s="3"/>
      <c r="F32" s="3"/>
    </row>
    <row r="33" customFormat="false" ht="19.25" hidden="false" customHeight="false" outlineLevel="0" collapsed="false">
      <c r="A33" s="3" t="s">
        <v>31</v>
      </c>
      <c r="B33" s="3" t="n">
        <v>1</v>
      </c>
      <c r="C33" s="6" t="n">
        <f aca="false">B33/$B$39</f>
        <v>0.00945179584120983</v>
      </c>
      <c r="D33" s="3"/>
      <c r="E33" s="3"/>
      <c r="F33" s="3"/>
    </row>
    <row r="34" customFormat="false" ht="12.8" hidden="false" customHeight="false" outlineLevel="0" collapsed="false">
      <c r="A34" s="3"/>
      <c r="B34" s="3"/>
      <c r="C34" s="6" t="n">
        <f aca="false">B34/$B$39</f>
        <v>0</v>
      </c>
      <c r="D34" s="3"/>
      <c r="E34" s="3"/>
      <c r="F34" s="3"/>
    </row>
    <row r="35" customFormat="false" ht="12.8" hidden="false" customHeight="false" outlineLevel="0" collapsed="false">
      <c r="A35" s="3" t="s">
        <v>32</v>
      </c>
      <c r="B35" s="3" t="n">
        <v>1</v>
      </c>
      <c r="C35" s="6" t="n">
        <f aca="false">B35/$B$39</f>
        <v>0.00945179584120983</v>
      </c>
      <c r="D35" s="3"/>
      <c r="E35" s="3"/>
      <c r="F35" s="3"/>
    </row>
    <row r="36" customFormat="false" ht="12.8" hidden="false" customHeight="false" outlineLevel="0" collapsed="false">
      <c r="A36" s="3"/>
      <c r="B36" s="3"/>
      <c r="C36" s="6" t="n">
        <f aca="false">B36/$B$39</f>
        <v>0</v>
      </c>
      <c r="D36" s="3"/>
      <c r="E36" s="3"/>
      <c r="F36" s="3"/>
    </row>
    <row r="37" customFormat="false" ht="22.75" hidden="false" customHeight="true" outlineLevel="0" collapsed="false">
      <c r="A37" s="3" t="s">
        <v>33</v>
      </c>
      <c r="B37" s="3" t="n">
        <v>0.3</v>
      </c>
      <c r="C37" s="6" t="n">
        <f aca="false">B37/$B$39</f>
        <v>0.00283553875236295</v>
      </c>
      <c r="D37" s="3"/>
      <c r="E37" s="3"/>
      <c r="F37" s="3"/>
    </row>
    <row r="38" customFormat="false" ht="12.8" hidden="false" customHeight="false" outlineLevel="0" collapsed="false">
      <c r="A38" s="3"/>
      <c r="B38" s="3"/>
      <c r="C38" s="3"/>
      <c r="D38" s="3"/>
      <c r="E38" s="3"/>
      <c r="F38" s="3"/>
    </row>
    <row r="39" customFormat="false" ht="12.8" hidden="false" customHeight="false" outlineLevel="0" collapsed="false">
      <c r="A39" s="3" t="s">
        <v>34</v>
      </c>
      <c r="B39" s="3" t="n">
        <f aca="false">SUM(B4:B37)</f>
        <v>105.8</v>
      </c>
      <c r="C39" s="3"/>
      <c r="D39" s="6" t="n">
        <f aca="false">SUM(D4:D37)</f>
        <v>0.779773156899811</v>
      </c>
      <c r="E39" s="7" t="n">
        <f aca="false">SUM(E4:E37)</f>
        <v>80.4198487712665</v>
      </c>
      <c r="F39" s="6" t="n">
        <f aca="false">SUM(F4:F37)</f>
        <v>0.994394225811995</v>
      </c>
    </row>
    <row r="40" customFormat="false" ht="12.8" hidden="false" customHeight="false" outlineLevel="0" collapsed="false">
      <c r="A40" s="3" t="s">
        <v>35</v>
      </c>
      <c r="B40" s="3" t="n">
        <v>-8.1</v>
      </c>
      <c r="C40" s="6" t="n">
        <f aca="false">B40/$B$39</f>
        <v>-0.0765595463137996</v>
      </c>
      <c r="D40" s="3"/>
      <c r="E40" s="3"/>
      <c r="F40" s="3"/>
    </row>
    <row r="41" customFormat="false" ht="12.8" hidden="false" customHeight="false" outlineLevel="0" collapsed="false">
      <c r="A41" s="3" t="s">
        <v>36</v>
      </c>
      <c r="B41" s="3" t="n">
        <f aca="false">B39+B40</f>
        <v>97.7</v>
      </c>
      <c r="C41" s="6"/>
      <c r="D41" s="3"/>
      <c r="E41" s="3"/>
      <c r="F41" s="3"/>
    </row>
    <row r="43" customFormat="false" ht="12.8" hidden="false" customHeight="false" outlineLevel="0" collapsed="false">
      <c r="A43" s="1" t="s">
        <v>37</v>
      </c>
      <c r="B43" s="8" t="s">
        <v>38</v>
      </c>
    </row>
    <row r="44" customFormat="false" ht="12.8" hidden="false" customHeight="false" outlineLevel="0" collapsed="false">
      <c r="B44" s="8"/>
    </row>
    <row r="45" customFormat="false" ht="12.8" hidden="false" customHeight="false" outlineLevel="0" collapsed="false">
      <c r="B45" s="8"/>
    </row>
    <row r="46" customFormat="false" ht="12.8" hidden="false" customHeight="false" outlineLevel="0" collapsed="false">
      <c r="A46" s="0"/>
      <c r="B46" s="8"/>
    </row>
    <row r="47" customFormat="false" ht="12.8" hidden="false" customHeight="false" outlineLevel="0" collapsed="false">
      <c r="B47" s="8"/>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8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J2" activeCellId="0" sqref="J2"/>
    </sheetView>
  </sheetViews>
  <sheetFormatPr defaultColWidth="11.55078125" defaultRowHeight="12.8" zeroHeight="false" outlineLevelRow="0" outlineLevelCol="0"/>
  <cols>
    <col collapsed="false" customWidth="true" hidden="false" outlineLevel="0" max="1" min="1" style="1" width="16.63"/>
    <col collapsed="false" customWidth="true" hidden="false" outlineLevel="0" max="2" min="2" style="1" width="10.92"/>
    <col collapsed="false" customWidth="true" hidden="false" outlineLevel="0" max="3" min="3" style="1" width="6.81"/>
    <col collapsed="false" customWidth="true" hidden="false" outlineLevel="0" max="4" min="4" style="1" width="8.66"/>
    <col collapsed="false" customWidth="true" hidden="false" outlineLevel="0" max="5" min="5" style="1" width="6.98"/>
    <col collapsed="false" customWidth="true" hidden="false" outlineLevel="0" max="6" min="6" style="1" width="9.63"/>
    <col collapsed="false" customWidth="true" hidden="false" outlineLevel="0" max="8" min="7" style="1" width="6.98"/>
    <col collapsed="false" customWidth="true" hidden="false" outlineLevel="0" max="12" min="9" style="1" width="7.38"/>
    <col collapsed="false" customWidth="true" hidden="false" outlineLevel="0" max="13" min="13" style="1" width="8.56"/>
    <col collapsed="false" customWidth="true" hidden="false" outlineLevel="0" max="14" min="14" style="2" width="9.15"/>
    <col collapsed="false" customWidth="false" hidden="false" outlineLevel="0" max="1023" min="15" style="2" width="11.54"/>
  </cols>
  <sheetData>
    <row r="1" customFormat="false" ht="12.8" hidden="false" customHeight="true" outlineLevel="0" collapsed="false">
      <c r="A1" s="3"/>
      <c r="B1" s="9" t="s">
        <v>39</v>
      </c>
      <c r="C1" s="6"/>
      <c r="D1" s="6"/>
      <c r="E1" s="6"/>
      <c r="F1" s="6"/>
      <c r="G1" s="6"/>
      <c r="H1" s="6"/>
      <c r="I1" s="6"/>
      <c r="J1" s="6"/>
      <c r="K1" s="6"/>
      <c r="L1" s="6"/>
      <c r="M1" s="6"/>
      <c r="N1" s="6"/>
    </row>
    <row r="2" customFormat="false" ht="69.25" hidden="false" customHeight="true" outlineLevel="0" collapsed="false">
      <c r="A2" s="3" t="s">
        <v>40</v>
      </c>
      <c r="B2" s="6" t="s">
        <v>41</v>
      </c>
      <c r="C2" s="6" t="s">
        <v>42</v>
      </c>
      <c r="D2" s="6" t="s">
        <v>43</v>
      </c>
      <c r="E2" s="6" t="s">
        <v>44</v>
      </c>
      <c r="F2" s="6" t="s">
        <v>45</v>
      </c>
      <c r="G2" s="6" t="s">
        <v>46</v>
      </c>
      <c r="H2" s="6" t="s">
        <v>42</v>
      </c>
      <c r="I2" s="6" t="s">
        <v>47</v>
      </c>
      <c r="J2" s="6" t="s">
        <v>48</v>
      </c>
      <c r="K2" s="6" t="s">
        <v>49</v>
      </c>
      <c r="L2" s="6" t="s">
        <v>42</v>
      </c>
      <c r="M2" s="6" t="s">
        <v>50</v>
      </c>
      <c r="N2" s="6" t="s">
        <v>51</v>
      </c>
    </row>
    <row r="3" customFormat="false" ht="29" hidden="false" customHeight="true" outlineLevel="0" collapsed="false">
      <c r="A3" s="3" t="str">
        <f aca="false">CONCATENATE("Building Electrification Percentage in Target Year: ", B21)</f>
        <v>Building Electrification Percentage in Target Year: 2030</v>
      </c>
      <c r="B3" s="6" t="n">
        <v>0</v>
      </c>
      <c r="C3" s="6" t="n">
        <v>0.1</v>
      </c>
      <c r="D3" s="6" t="n">
        <f aca="false">B62</f>
        <v>0.117812189933043</v>
      </c>
      <c r="E3" s="6" t="n">
        <f aca="false">E16/$B$38</f>
        <v>0.132935271954991</v>
      </c>
      <c r="F3" s="6" t="n">
        <v>0.21</v>
      </c>
      <c r="G3" s="6" t="n">
        <f aca="false">B50</f>
        <v>0.23564</v>
      </c>
      <c r="H3" s="6" t="n">
        <v>0.25</v>
      </c>
      <c r="I3" s="6" t="n">
        <f aca="false">B56</f>
        <v>0.262575873105072</v>
      </c>
      <c r="J3" s="6" t="n">
        <f aca="false">J16/$B$38</f>
        <v>0.265870543909983</v>
      </c>
      <c r="K3" s="6" t="n">
        <f aca="false">K16/$B$38</f>
        <v>0.289285714285714</v>
      </c>
      <c r="L3" s="6" t="n">
        <v>0.5</v>
      </c>
      <c r="M3" s="6" t="n">
        <f aca="false">M7/$B$20</f>
        <v>0.604760265339766</v>
      </c>
      <c r="N3" s="6" t="n">
        <v>0.9</v>
      </c>
    </row>
    <row r="4" customFormat="false" ht="14.75" hidden="false" customHeight="true" outlineLevel="0" collapsed="false">
      <c r="A4" s="3"/>
      <c r="B4" s="10" t="s">
        <v>52</v>
      </c>
      <c r="C4" s="10"/>
      <c r="D4" s="10"/>
      <c r="E4" s="10"/>
      <c r="F4" s="10"/>
      <c r="G4" s="10"/>
      <c r="H4" s="10"/>
      <c r="I4" s="10"/>
      <c r="J4" s="10"/>
      <c r="K4" s="10"/>
      <c r="L4" s="10"/>
      <c r="M4" s="10"/>
      <c r="N4" s="10"/>
    </row>
    <row r="5" customFormat="false" ht="32.85" hidden="false" customHeight="true" outlineLevel="0" collapsed="false">
      <c r="A5" s="3" t="s">
        <v>53</v>
      </c>
      <c r="B5" s="7" t="n">
        <f aca="false">$B$3*$B$20</f>
        <v>0</v>
      </c>
      <c r="C5" s="7" t="n">
        <f aca="false">$C$3*$B$20</f>
        <v>1.45</v>
      </c>
      <c r="D5" s="7" t="n">
        <f aca="false">$D$3*$B$20</f>
        <v>1.70827675402912</v>
      </c>
      <c r="E5" s="7" t="n">
        <f aca="false">$E$3*$B$20</f>
        <v>1.92756144334737</v>
      </c>
      <c r="F5" s="7" t="n">
        <f aca="false">$F$3*$B$20</f>
        <v>3.045</v>
      </c>
      <c r="G5" s="7" t="n">
        <f aca="false">$G$3*$B$20</f>
        <v>3.41678</v>
      </c>
      <c r="H5" s="7" t="n">
        <f aca="false">$H$3*$B$20</f>
        <v>3.625</v>
      </c>
      <c r="I5" s="7" t="n">
        <f aca="false">$I$3*$B$20</f>
        <v>3.80735016002354</v>
      </c>
      <c r="J5" s="7" t="n">
        <f aca="false">$J$3*$B$20</f>
        <v>3.85512288669475</v>
      </c>
      <c r="K5" s="7" t="n">
        <f aca="false">$K$3*$B$20</f>
        <v>4.19464285714286</v>
      </c>
      <c r="L5" s="7" t="n">
        <f aca="false">$L$3*$B$20</f>
        <v>7.25</v>
      </c>
      <c r="M5" s="7" t="s">
        <v>54</v>
      </c>
      <c r="N5" s="7" t="n">
        <f aca="false">$N$3*$B$20</f>
        <v>13.05</v>
      </c>
    </row>
    <row r="6" customFormat="false" ht="35" hidden="false" customHeight="true" outlineLevel="0" collapsed="false">
      <c r="A6" s="3" t="s">
        <v>55</v>
      </c>
      <c r="B6" s="7" t="n">
        <f aca="false">B5/$B$37</f>
        <v>0</v>
      </c>
      <c r="C6" s="7" t="n">
        <f aca="false">C5/$B$37</f>
        <v>0.351089588377724</v>
      </c>
      <c r="D6" s="7" t="n">
        <f aca="false">D5/$B$37</f>
        <v>0.413626332694702</v>
      </c>
      <c r="E6" s="7" t="n">
        <f aca="false">E5/$B$37</f>
        <v>0.466721899115587</v>
      </c>
      <c r="F6" s="7" t="n">
        <f aca="false">F5/$B$37</f>
        <v>0.73728813559322</v>
      </c>
      <c r="G6" s="7" t="n">
        <f aca="false">G5/$B$37</f>
        <v>0.827307506053269</v>
      </c>
      <c r="H6" s="7" t="n">
        <f aca="false">H5/$B$37</f>
        <v>0.87772397094431</v>
      </c>
      <c r="I6" s="7" t="n">
        <f aca="false">I5/$B$37</f>
        <v>0.921876552063811</v>
      </c>
      <c r="J6" s="7" t="n">
        <f aca="false">J5/$B$37</f>
        <v>0.933443798231174</v>
      </c>
      <c r="K6" s="7" t="n">
        <f aca="false">K5/$B$37</f>
        <v>1.01565202352127</v>
      </c>
      <c r="L6" s="7" t="n">
        <f aca="false">L5/$B$37</f>
        <v>1.75544794188862</v>
      </c>
      <c r="M6" s="7" t="s">
        <v>54</v>
      </c>
      <c r="N6" s="7" t="n">
        <f aca="false">N5/$B$37</f>
        <v>3.15980629539952</v>
      </c>
    </row>
    <row r="7" customFormat="false" ht="24.6" hidden="false" customHeight="true" outlineLevel="0" collapsed="false">
      <c r="A7" s="3" t="s">
        <v>56</v>
      </c>
      <c r="B7" s="7" t="n">
        <f aca="false">B5-B6</f>
        <v>0</v>
      </c>
      <c r="C7" s="7" t="n">
        <f aca="false">C5-C6</f>
        <v>1.09891041162228</v>
      </c>
      <c r="D7" s="7" t="n">
        <f aca="false">D5-D6</f>
        <v>1.29465042133442</v>
      </c>
      <c r="E7" s="7" t="n">
        <f aca="false">E5-E6</f>
        <v>1.46083954423179</v>
      </c>
      <c r="F7" s="7" t="n">
        <f aca="false">F5-F6</f>
        <v>2.30771186440678</v>
      </c>
      <c r="G7" s="7" t="n">
        <f aca="false">G5-G6</f>
        <v>2.58947249394673</v>
      </c>
      <c r="H7" s="7" t="n">
        <f aca="false">H5-H6</f>
        <v>2.74727602905569</v>
      </c>
      <c r="I7" s="7" t="n">
        <f aca="false">I5-I6</f>
        <v>2.88547360795973</v>
      </c>
      <c r="J7" s="7" t="n">
        <f aca="false">J5-J6</f>
        <v>2.92167908846357</v>
      </c>
      <c r="K7" s="7" t="n">
        <f aca="false">K5-K6</f>
        <v>3.17899083362158</v>
      </c>
      <c r="L7" s="7" t="n">
        <f aca="false">L5-L6</f>
        <v>5.49455205811138</v>
      </c>
      <c r="M7" s="7" t="n">
        <f aca="false">B75</f>
        <v>8.7690238474266</v>
      </c>
      <c r="N7" s="7" t="n">
        <f aca="false">N5-N6</f>
        <v>9.89019370460048</v>
      </c>
    </row>
    <row r="8" customFormat="false" ht="24.6" hidden="false" customHeight="true" outlineLevel="0" collapsed="false">
      <c r="A8" s="3" t="s">
        <v>57</v>
      </c>
      <c r="B8" s="6" t="n">
        <f aca="false">B7/$B$20</f>
        <v>0</v>
      </c>
      <c r="C8" s="6" t="n">
        <f aca="false">C7/$B$20</f>
        <v>0.0757869249394673</v>
      </c>
      <c r="D8" s="6" t="n">
        <f aca="false">D7/$B$20</f>
        <v>0.0892862359540977</v>
      </c>
      <c r="E8" s="6" t="n">
        <f aca="false">E7/$B$20</f>
        <v>0.100747554774606</v>
      </c>
      <c r="F8" s="6" t="n">
        <f aca="false">F7/$B$20</f>
        <v>0.159152542372881</v>
      </c>
      <c r="G8" s="6" t="n">
        <f aca="false">G7/$B$20</f>
        <v>0.178584309927361</v>
      </c>
      <c r="H8" s="6" t="n">
        <f aca="false">H7/$B$20</f>
        <v>0.189467312348668</v>
      </c>
      <c r="I8" s="6" t="n">
        <f aca="false">I7/$B$20</f>
        <v>0.198998179859292</v>
      </c>
      <c r="J8" s="6" t="n">
        <f aca="false">J7/$B$20</f>
        <v>0.201495109549212</v>
      </c>
      <c r="K8" s="6" t="n">
        <f aca="false">K7/$B$20</f>
        <v>0.219240747146316</v>
      </c>
      <c r="L8" s="6" t="n">
        <f aca="false">L7/$B$20</f>
        <v>0.378934624697337</v>
      </c>
      <c r="M8" s="6" t="n">
        <f aca="false">M7/$B$20</f>
        <v>0.604760265339766</v>
      </c>
      <c r="N8" s="6" t="n">
        <f aca="false">N7/$B$20</f>
        <v>0.682082324455206</v>
      </c>
    </row>
    <row r="9" customFormat="false" ht="10.95" hidden="false" customHeight="true" outlineLevel="0" collapsed="false">
      <c r="A9" s="3"/>
      <c r="B9" s="3"/>
      <c r="C9" s="7"/>
      <c r="D9" s="7"/>
      <c r="E9" s="7"/>
      <c r="F9" s="7"/>
      <c r="G9" s="7"/>
      <c r="H9" s="7"/>
      <c r="I9" s="7"/>
      <c r="J9" s="7"/>
      <c r="K9" s="7"/>
      <c r="L9" s="7"/>
      <c r="M9" s="7"/>
      <c r="N9" s="7"/>
    </row>
    <row r="10" customFormat="false" ht="41.05" hidden="false" customHeight="true" outlineLevel="0" collapsed="false">
      <c r="A10" s="3" t="s">
        <v>58</v>
      </c>
      <c r="B10" s="4" t="s">
        <v>59</v>
      </c>
      <c r="C10" s="4"/>
      <c r="D10" s="4"/>
      <c r="E10" s="4"/>
      <c r="F10" s="4"/>
      <c r="G10" s="4"/>
      <c r="H10" s="4"/>
      <c r="I10" s="4"/>
      <c r="J10" s="4"/>
      <c r="K10" s="4"/>
      <c r="L10" s="4"/>
      <c r="M10" s="4"/>
      <c r="N10" s="4"/>
    </row>
    <row r="11" customFormat="false" ht="12.8" hidden="false" customHeight="false" outlineLevel="0" collapsed="false">
      <c r="A11" s="3" t="n">
        <v>8</v>
      </c>
      <c r="B11" s="6" t="n">
        <f aca="false">$B$7/A11</f>
        <v>0</v>
      </c>
      <c r="C11" s="6" t="n">
        <f aca="false">$C$7/A11</f>
        <v>0.137363801452785</v>
      </c>
      <c r="D11" s="6" t="n">
        <f aca="false">$D$7/A11</f>
        <v>0.161831302666802</v>
      </c>
      <c r="E11" s="6" t="n">
        <f aca="false">$E$7/A11</f>
        <v>0.182604943028973</v>
      </c>
      <c r="F11" s="6" t="n">
        <f aca="false">$F$7/A11</f>
        <v>0.288463983050847</v>
      </c>
      <c r="G11" s="6" t="n">
        <f aca="false">$G$7/A11</f>
        <v>0.323684061743341</v>
      </c>
      <c r="H11" s="6" t="n">
        <f aca="false">$H$7/A11</f>
        <v>0.343409503631961</v>
      </c>
      <c r="I11" s="6" t="n">
        <f aca="false">$I$7/A11</f>
        <v>0.360684200994966</v>
      </c>
      <c r="J11" s="6" t="n">
        <f aca="false">$J$7/A11</f>
        <v>0.365209886057947</v>
      </c>
      <c r="K11" s="6" t="n">
        <f aca="false">$K$7/A11</f>
        <v>0.397373854202698</v>
      </c>
      <c r="L11" s="6" t="n">
        <f aca="false">$L$7/A11</f>
        <v>0.686819007263922</v>
      </c>
      <c r="M11" s="6" t="n">
        <f aca="false">$M$7/A11</f>
        <v>1.09612798092833</v>
      </c>
      <c r="N11" s="6" t="n">
        <f aca="false">$N$7/A11</f>
        <v>1.23627421307506</v>
      </c>
    </row>
    <row r="12" customFormat="false" ht="12.8" hidden="false" customHeight="false" outlineLevel="0" collapsed="false">
      <c r="A12" s="7" t="n">
        <f aca="false">B26</f>
        <v>10.3</v>
      </c>
      <c r="B12" s="6" t="n">
        <f aca="false">$B$7/A12</f>
        <v>0</v>
      </c>
      <c r="C12" s="6" t="n">
        <f aca="false">$C$7/A12</f>
        <v>0.106690331225464</v>
      </c>
      <c r="D12" s="6" t="n">
        <f aca="false">$D$7/A12</f>
        <v>0.125694215663536</v>
      </c>
      <c r="E12" s="6" t="n">
        <f aca="false">$E$7/A12</f>
        <v>0.141829081964251</v>
      </c>
      <c r="F12" s="6" t="n">
        <f aca="false">$F$7/A12</f>
        <v>0.224049695573474</v>
      </c>
      <c r="G12" s="6" t="n">
        <f aca="false">$G$7/A12</f>
        <v>0.251405096499683</v>
      </c>
      <c r="H12" s="6" t="n">
        <f aca="false">$H$7/A12</f>
        <v>0.266725828063659</v>
      </c>
      <c r="I12" s="6" t="n">
        <f aca="false">$I$7/A12</f>
        <v>0.280143068733954</v>
      </c>
      <c r="J12" s="6" t="n">
        <f aca="false">$J$7/A12</f>
        <v>0.283658163928502</v>
      </c>
      <c r="K12" s="6" t="n">
        <f aca="false">$K$7/A12</f>
        <v>0.308639886759377</v>
      </c>
      <c r="L12" s="6" t="n">
        <f aca="false">$L$7/A12</f>
        <v>0.533451656127319</v>
      </c>
      <c r="M12" s="6" t="n">
        <f aca="false">$M$7/A12</f>
        <v>0.851361538585107</v>
      </c>
      <c r="N12" s="6" t="n">
        <f aca="false">$N$7/A12</f>
        <v>0.960212981029173</v>
      </c>
    </row>
    <row r="13" customFormat="false" ht="12.8" hidden="false" customHeight="false" outlineLevel="0" collapsed="false">
      <c r="A13" s="3" t="n">
        <v>12</v>
      </c>
      <c r="B13" s="6" t="n">
        <f aca="false">$B$7/A13</f>
        <v>0</v>
      </c>
      <c r="C13" s="6" t="n">
        <f aca="false">$C$7/A13</f>
        <v>0.0915758676351897</v>
      </c>
      <c r="D13" s="6" t="n">
        <f aca="false">$D$7/A13</f>
        <v>0.107887535111201</v>
      </c>
      <c r="E13" s="6" t="n">
        <f aca="false">$E$7/A13</f>
        <v>0.121736628685982</v>
      </c>
      <c r="F13" s="6" t="n">
        <f aca="false">$F$7/A13</f>
        <v>0.192309322033898</v>
      </c>
      <c r="G13" s="6" t="n">
        <f aca="false">$G$7/A13</f>
        <v>0.215789374495561</v>
      </c>
      <c r="H13" s="6" t="n">
        <f aca="false">$H$7/A13</f>
        <v>0.228939669087974</v>
      </c>
      <c r="I13" s="6" t="n">
        <f aca="false">$I$7/A13</f>
        <v>0.240456133996644</v>
      </c>
      <c r="J13" s="6" t="n">
        <f aca="false">$J$7/A13</f>
        <v>0.243473257371964</v>
      </c>
      <c r="K13" s="6" t="n">
        <f aca="false">$K$7/A13</f>
        <v>0.264915902801799</v>
      </c>
      <c r="L13" s="6" t="n">
        <f aca="false">$L$7/A13</f>
        <v>0.457879338175948</v>
      </c>
      <c r="M13" s="6" t="n">
        <f aca="false">$M$7/A13</f>
        <v>0.73075198728555</v>
      </c>
      <c r="N13" s="6" t="n">
        <f aca="false">$N$7/A13</f>
        <v>0.824182808716707</v>
      </c>
    </row>
    <row r="14" customFormat="false" ht="12.8" hidden="false" customHeight="false" outlineLevel="0" collapsed="false">
      <c r="A14" s="3" t="n">
        <v>14</v>
      </c>
      <c r="B14" s="6" t="n">
        <f aca="false">$B$7/A14</f>
        <v>0</v>
      </c>
      <c r="C14" s="6" t="n">
        <f aca="false">$C$7/A14</f>
        <v>0.0784936008301626</v>
      </c>
      <c r="D14" s="6" t="n">
        <f aca="false">$D$7/A14</f>
        <v>0.0924750300953155</v>
      </c>
      <c r="E14" s="6" t="n">
        <f aca="false">$E$7/A14</f>
        <v>0.104345681730842</v>
      </c>
      <c r="F14" s="6" t="n">
        <f aca="false">$F$7/A14</f>
        <v>0.164836561743341</v>
      </c>
      <c r="G14" s="6" t="n">
        <f aca="false">$G$7/A14</f>
        <v>0.184962320996195</v>
      </c>
      <c r="H14" s="6" t="n">
        <f aca="false">$H$7/A14</f>
        <v>0.196234002075406</v>
      </c>
      <c r="I14" s="6" t="n">
        <f aca="false">$I$7/A14</f>
        <v>0.206105257711409</v>
      </c>
      <c r="J14" s="6" t="n">
        <f aca="false">$J$7/A14</f>
        <v>0.208691363461684</v>
      </c>
      <c r="K14" s="6" t="n">
        <f aca="false">$K$7/A14</f>
        <v>0.227070773830113</v>
      </c>
      <c r="L14" s="6" t="n">
        <f aca="false">$L$7/A14</f>
        <v>0.392468004150813</v>
      </c>
      <c r="M14" s="6" t="n">
        <f aca="false">$M$7/A14</f>
        <v>0.626358846244757</v>
      </c>
      <c r="N14" s="6" t="n">
        <f aca="false">$N$7/A14</f>
        <v>0.706442407471463</v>
      </c>
    </row>
    <row r="15" customFormat="false" ht="12.8" hidden="false" customHeight="false" outlineLevel="0" collapsed="false">
      <c r="A15" s="3"/>
      <c r="B15" s="3"/>
      <c r="C15" s="6"/>
      <c r="D15" s="6"/>
      <c r="E15" s="6"/>
      <c r="F15" s="6"/>
      <c r="G15" s="6"/>
      <c r="H15" s="6"/>
      <c r="I15" s="6"/>
      <c r="J15" s="6"/>
      <c r="K15" s="6"/>
      <c r="L15" s="6"/>
      <c r="M15" s="6"/>
      <c r="N15" s="6"/>
    </row>
    <row r="16" customFormat="false" ht="28.3" hidden="false" customHeight="false" outlineLevel="0" collapsed="false">
      <c r="A16" s="3" t="s">
        <v>60</v>
      </c>
      <c r="B16" s="11" t="n">
        <f aca="false">B3*$B$38</f>
        <v>0</v>
      </c>
      <c r="C16" s="11" t="n">
        <f aca="false">C3*$B$38</f>
        <v>376122.9</v>
      </c>
      <c r="D16" s="11" t="n">
        <f aca="false">D3*$B$38</f>
        <v>443118.625329668</v>
      </c>
      <c r="E16" s="11" t="n">
        <v>500000</v>
      </c>
      <c r="F16" s="11" t="n">
        <f aca="false">F3*$B$38</f>
        <v>789858.09</v>
      </c>
      <c r="G16" s="11" t="n">
        <f aca="false">G3*$B$38</f>
        <v>886296.00156</v>
      </c>
      <c r="H16" s="11" t="n">
        <f aca="false">H3*$B$38</f>
        <v>940307.25</v>
      </c>
      <c r="I16" s="11" t="n">
        <f aca="false">I3*$B$38</f>
        <v>987607.988623116</v>
      </c>
      <c r="J16" s="11" t="n">
        <v>1000000</v>
      </c>
      <c r="K16" s="11" t="n">
        <f aca="false">K17*B27</f>
        <v>1088069.81785714</v>
      </c>
      <c r="L16" s="11" t="n">
        <f aca="false">L3*$B$38</f>
        <v>1880614.5</v>
      </c>
      <c r="M16" s="11" t="n">
        <f aca="false">M3*$B$38</f>
        <v>2274641.84804362</v>
      </c>
      <c r="N16" s="11" t="n">
        <f aca="false">N3*$B$38</f>
        <v>3385106.1</v>
      </c>
    </row>
    <row r="17" customFormat="false" ht="37.3" hidden="false" customHeight="false" outlineLevel="0" collapsed="false">
      <c r="A17" s="3" t="s">
        <v>61</v>
      </c>
      <c r="B17" s="11" t="s">
        <v>54</v>
      </c>
      <c r="C17" s="11" t="n">
        <f aca="false">C16/$B$27</f>
        <v>41791.4333333333</v>
      </c>
      <c r="D17" s="11" t="n">
        <f aca="false">D16/$B$27</f>
        <v>49235.4028144076</v>
      </c>
      <c r="E17" s="11" t="n">
        <f aca="false">E16/$B$27</f>
        <v>55555.5555555556</v>
      </c>
      <c r="F17" s="11" t="n">
        <f aca="false">F16/$B$27</f>
        <v>87762.01</v>
      </c>
      <c r="G17" s="11" t="n">
        <f aca="false">G16/$B$27</f>
        <v>98477.3335066667</v>
      </c>
      <c r="H17" s="11" t="n">
        <f aca="false">H16/$B$27</f>
        <v>104478.583333333</v>
      </c>
      <c r="I17" s="11" t="n">
        <f aca="false">I16/$B$27</f>
        <v>109734.220958124</v>
      </c>
      <c r="J17" s="11" t="n">
        <f aca="false">J16/$B$27</f>
        <v>111111.111111111</v>
      </c>
      <c r="K17" s="11" t="n">
        <f aca="false">($B$38*0.9)/(K18-B28)</f>
        <v>120896.646428571</v>
      </c>
      <c r="L17" s="11" t="n">
        <f aca="false">L16/$B$27</f>
        <v>208957.166666667</v>
      </c>
      <c r="M17" s="11" t="n">
        <f aca="false">M16/$B$27</f>
        <v>252737.983115958</v>
      </c>
      <c r="N17" s="11" t="n">
        <f aca="false">N16/$B$27</f>
        <v>376122.9</v>
      </c>
    </row>
    <row r="18" customFormat="false" ht="55.4" hidden="false" customHeight="false" outlineLevel="0" collapsed="false">
      <c r="A18" s="3" t="s">
        <v>62</v>
      </c>
      <c r="B18" s="12" t="s">
        <v>63</v>
      </c>
      <c r="C18" s="12" t="n">
        <f aca="false">(($B$38*$N$3)/C17)+$B$28-1</f>
        <v>2102</v>
      </c>
      <c r="D18" s="12" t="n">
        <f aca="false">(($B$38*$N$3)/D17)+$B$28-1</f>
        <v>2089.7534966</v>
      </c>
      <c r="E18" s="12" t="n">
        <f aca="false">(($B$38*$N$3)/E17)+$B$28-1</f>
        <v>2081.9319098</v>
      </c>
      <c r="F18" s="12" t="n">
        <f aca="false">(($B$38*$N$3)/F17)+$B$28-1</f>
        <v>2059.57142857143</v>
      </c>
      <c r="G18" s="12" t="n">
        <f aca="false">(($B$38*$N$3)/G17)+$B$28-1</f>
        <v>2055.37446952979</v>
      </c>
      <c r="H18" s="12" t="n">
        <f aca="false">(($B$38*$N$3)/H17)+$B$28-1</f>
        <v>2053.4</v>
      </c>
      <c r="I18" s="12" t="n">
        <f aca="false">(($B$38*$N$3)/I17)+$B$28-1</f>
        <v>2051.84822647342</v>
      </c>
      <c r="J18" s="12" t="n">
        <f aca="false">(($B$38*$N$3)/J17)+$B$28-1</f>
        <v>2051.4659549</v>
      </c>
      <c r="K18" s="12" t="n">
        <v>2050</v>
      </c>
      <c r="L18" s="12" t="n">
        <f aca="false">(($B$38*$N$3)/L17)+$B$28-1</f>
        <v>2037.2</v>
      </c>
      <c r="M18" s="12" t="n">
        <f aca="false">(($B$38*$N$3)/M17)+$B$28-1</f>
        <v>2034.39373709589</v>
      </c>
      <c r="N18" s="12" t="n">
        <f aca="false">(($B$38*$N$3)/N17)+$B$28-1</f>
        <v>2030</v>
      </c>
    </row>
    <row r="20" customFormat="false" ht="19.25" hidden="false" customHeight="false" outlineLevel="0" collapsed="false">
      <c r="A20" s="3" t="s">
        <v>64</v>
      </c>
      <c r="B20" s="13" t="n">
        <v>14.5</v>
      </c>
    </row>
    <row r="21" customFormat="false" ht="12.8" hidden="false" customHeight="false" outlineLevel="0" collapsed="false">
      <c r="A21" s="3" t="s">
        <v>65</v>
      </c>
      <c r="B21" s="3" t="n">
        <v>2030</v>
      </c>
    </row>
    <row r="22" customFormat="false" ht="30.1" hidden="false" customHeight="true" outlineLevel="0" collapsed="false">
      <c r="A22" s="3" t="s">
        <v>66</v>
      </c>
      <c r="B22" s="3" t="n">
        <v>135.4</v>
      </c>
      <c r="C22" s="8" t="s">
        <v>67</v>
      </c>
      <c r="D22" s="8"/>
      <c r="E22" s="8"/>
      <c r="F22" s="8"/>
      <c r="G22" s="8"/>
    </row>
    <row r="23" customFormat="false" ht="21.35" hidden="false" customHeight="true" outlineLevel="0" collapsed="false">
      <c r="A23" s="3" t="s">
        <v>68</v>
      </c>
      <c r="B23" s="14" t="n">
        <v>0.5</v>
      </c>
      <c r="C23" s="8"/>
      <c r="D23" s="8"/>
      <c r="E23" s="8"/>
      <c r="F23" s="8"/>
      <c r="G23" s="8"/>
    </row>
    <row r="24" customFormat="false" ht="23" hidden="false" customHeight="true" outlineLevel="0" collapsed="false">
      <c r="A24" s="3" t="s">
        <v>69</v>
      </c>
      <c r="B24" s="7" t="n">
        <f aca="false">B23*B22</f>
        <v>67.7</v>
      </c>
      <c r="C24" s="8"/>
      <c r="D24" s="8"/>
      <c r="E24" s="8"/>
      <c r="F24" s="8"/>
      <c r="G24" s="8"/>
    </row>
    <row r="25" customFormat="false" ht="30.65" hidden="false" customHeight="true" outlineLevel="0" collapsed="false">
      <c r="A25" s="3" t="s">
        <v>70</v>
      </c>
      <c r="B25" s="7" t="n">
        <v>78</v>
      </c>
      <c r="C25" s="8"/>
      <c r="D25" s="8"/>
      <c r="E25" s="8"/>
      <c r="F25" s="8"/>
      <c r="G25" s="8"/>
    </row>
    <row r="26" customFormat="false" ht="37.75" hidden="false" customHeight="true" outlineLevel="0" collapsed="false">
      <c r="A26" s="3" t="s">
        <v>71</v>
      </c>
      <c r="B26" s="7" t="n">
        <f aca="false">B25-B24</f>
        <v>10.3</v>
      </c>
      <c r="C26" s="8"/>
      <c r="D26" s="8"/>
      <c r="E26" s="8"/>
      <c r="F26" s="8"/>
      <c r="G26" s="8"/>
    </row>
    <row r="27" customFormat="false" ht="31.2" hidden="false" customHeight="true" outlineLevel="0" collapsed="false">
      <c r="A27" s="3" t="s">
        <v>72</v>
      </c>
      <c r="B27" s="12" t="n">
        <v>9</v>
      </c>
      <c r="C27" s="8"/>
      <c r="D27" s="8"/>
      <c r="E27" s="8"/>
      <c r="F27" s="8"/>
      <c r="G27" s="8"/>
    </row>
    <row r="28" customFormat="false" ht="42.15" hidden="false" customHeight="true" outlineLevel="0" collapsed="false">
      <c r="A28" s="3" t="s">
        <v>73</v>
      </c>
      <c r="B28" s="12" t="n">
        <f aca="false">(B21-B27)+1</f>
        <v>2022</v>
      </c>
      <c r="C28" s="8"/>
      <c r="D28" s="8"/>
      <c r="E28" s="8"/>
      <c r="F28" s="8"/>
      <c r="G28" s="8"/>
    </row>
    <row r="29" customFormat="false" ht="14.2" hidden="false" customHeight="true" outlineLevel="0" collapsed="false">
      <c r="B29" s="15"/>
      <c r="C29" s="8"/>
      <c r="D29" s="8"/>
      <c r="E29" s="8"/>
      <c r="F29" s="8"/>
      <c r="G29" s="8"/>
    </row>
    <row r="30" customFormat="false" ht="30.7" hidden="false" customHeight="true" outlineLevel="0" collapsed="false">
      <c r="A30" s="3" t="s">
        <v>74</v>
      </c>
      <c r="B30" s="16" t="n">
        <v>0.0053</v>
      </c>
      <c r="C30" s="17" t="s">
        <v>75</v>
      </c>
      <c r="D30" s="17"/>
      <c r="E30" s="17"/>
      <c r="F30" s="17"/>
      <c r="G30" s="17"/>
      <c r="H30" s="17"/>
      <c r="I30" s="17"/>
      <c r="J30" s="17"/>
      <c r="K30" s="17"/>
      <c r="L30" s="17"/>
      <c r="M30" s="17"/>
    </row>
    <row r="31" customFormat="false" ht="32.85" hidden="false" customHeight="true" outlineLevel="0" collapsed="false">
      <c r="A31" s="3" t="s">
        <v>76</v>
      </c>
      <c r="B31" s="16" t="n">
        <v>9.5</v>
      </c>
      <c r="C31" s="17" t="s">
        <v>77</v>
      </c>
      <c r="D31" s="17"/>
      <c r="E31" s="17"/>
      <c r="F31" s="17"/>
      <c r="G31" s="17"/>
      <c r="H31" s="17"/>
      <c r="I31" s="17"/>
      <c r="J31" s="17"/>
      <c r="K31" s="17"/>
      <c r="L31" s="17"/>
      <c r="M31" s="17"/>
    </row>
    <row r="32" customFormat="false" ht="32.85" hidden="false" customHeight="true" outlineLevel="0" collapsed="false">
      <c r="A32" s="3" t="s">
        <v>78</v>
      </c>
      <c r="B32" s="3" t="n">
        <v>61106458</v>
      </c>
      <c r="C32" s="17" t="s">
        <v>79</v>
      </c>
      <c r="D32" s="17"/>
      <c r="E32" s="17"/>
      <c r="F32" s="17"/>
      <c r="G32" s="17"/>
      <c r="H32" s="17"/>
      <c r="I32" s="17"/>
      <c r="J32" s="17"/>
      <c r="K32" s="17"/>
      <c r="L32" s="17"/>
      <c r="M32" s="17"/>
    </row>
    <row r="33" customFormat="false" ht="31.3" hidden="false" customHeight="true" outlineLevel="0" collapsed="false">
      <c r="A33" s="3" t="s">
        <v>80</v>
      </c>
      <c r="B33" s="3" t="n">
        <v>14902</v>
      </c>
      <c r="C33" s="17"/>
      <c r="D33" s="17"/>
      <c r="E33" s="17"/>
      <c r="F33" s="17"/>
      <c r="G33" s="17"/>
      <c r="H33" s="17"/>
      <c r="I33" s="17"/>
      <c r="J33" s="17"/>
      <c r="K33" s="17"/>
      <c r="L33" s="17"/>
      <c r="M33" s="17"/>
    </row>
    <row r="34" customFormat="false" ht="12.65" hidden="false" customHeight="true" outlineLevel="0" collapsed="false">
      <c r="A34" s="3" t="s">
        <v>81</v>
      </c>
      <c r="B34" s="18" t="n">
        <f aca="false">(B33*1000*B35)/B32</f>
        <v>537.634650661637</v>
      </c>
      <c r="C34" s="17" t="s">
        <v>82</v>
      </c>
      <c r="D34" s="17"/>
      <c r="E34" s="17"/>
      <c r="F34" s="17"/>
      <c r="G34" s="17"/>
      <c r="H34" s="17"/>
      <c r="I34" s="17"/>
      <c r="J34" s="17"/>
      <c r="K34" s="17"/>
      <c r="L34" s="17"/>
      <c r="M34" s="17"/>
    </row>
    <row r="35" customFormat="false" ht="10.8" hidden="false" customHeight="true" outlineLevel="0" collapsed="false">
      <c r="A35" s="3" t="s">
        <v>83</v>
      </c>
      <c r="B35" s="18" t="n">
        <v>2204.6</v>
      </c>
      <c r="C35" s="17"/>
      <c r="D35" s="17"/>
      <c r="E35" s="17"/>
      <c r="F35" s="17"/>
      <c r="G35" s="17"/>
      <c r="H35" s="17"/>
      <c r="I35" s="17"/>
      <c r="J35" s="17"/>
      <c r="K35" s="17"/>
      <c r="L35" s="17"/>
      <c r="M35" s="17"/>
    </row>
    <row r="36" customFormat="false" ht="12.8" hidden="false" customHeight="false" outlineLevel="0" collapsed="false">
      <c r="A36" s="3"/>
      <c r="B36" s="3"/>
    </row>
    <row r="37" customFormat="false" ht="42.7" hidden="false" customHeight="true" outlineLevel="0" collapsed="false">
      <c r="A37" s="3" t="s">
        <v>84</v>
      </c>
      <c r="B37" s="13" t="n">
        <v>4.13</v>
      </c>
      <c r="C37" s="8" t="s">
        <v>85</v>
      </c>
      <c r="D37" s="8"/>
      <c r="E37" s="8"/>
      <c r="F37" s="8"/>
      <c r="G37" s="8"/>
    </row>
    <row r="38" customFormat="false" ht="12.55" hidden="false" customHeight="true" outlineLevel="0" collapsed="false">
      <c r="A38" s="3" t="s">
        <v>86</v>
      </c>
      <c r="B38" s="12" t="n">
        <v>3761229</v>
      </c>
      <c r="C38" s="8" t="s">
        <v>87</v>
      </c>
      <c r="D38" s="8"/>
      <c r="E38" s="8"/>
      <c r="F38" s="8"/>
      <c r="G38" s="8"/>
    </row>
    <row r="39" customFormat="false" ht="12.55" hidden="false" customHeight="true" outlineLevel="0" collapsed="false">
      <c r="A39" s="3"/>
      <c r="B39" s="13"/>
      <c r="C39" s="8"/>
      <c r="D39" s="8"/>
      <c r="E39" s="8"/>
      <c r="F39" s="8"/>
      <c r="G39" s="8"/>
    </row>
    <row r="40" customFormat="false" ht="38.85" hidden="false" customHeight="true" outlineLevel="0" collapsed="false">
      <c r="A40" s="3" t="s">
        <v>88</v>
      </c>
      <c r="B40" s="13"/>
      <c r="C40" s="19" t="s">
        <v>89</v>
      </c>
      <c r="D40" s="19"/>
      <c r="E40" s="19"/>
      <c r="F40" s="19"/>
      <c r="G40" s="19"/>
    </row>
    <row r="41" customFormat="false" ht="19.15" hidden="false" customHeight="true" outlineLevel="0" collapsed="false">
      <c r="A41" s="3" t="s">
        <v>90</v>
      </c>
      <c r="B41" s="6" t="n">
        <v>0.2</v>
      </c>
      <c r="C41" s="20"/>
      <c r="D41" s="20"/>
      <c r="E41" s="20"/>
      <c r="F41" s="20"/>
      <c r="G41" s="20"/>
    </row>
    <row r="42" customFormat="false" ht="21.9" hidden="false" customHeight="true" outlineLevel="0" collapsed="false">
      <c r="A42" s="3" t="s">
        <v>91</v>
      </c>
      <c r="B42" s="6" t="n">
        <v>1</v>
      </c>
      <c r="C42" s="20"/>
      <c r="D42" s="20"/>
      <c r="E42" s="20"/>
      <c r="F42" s="20"/>
      <c r="G42" s="20"/>
    </row>
    <row r="43" customFormat="false" ht="19.7" hidden="false" customHeight="true" outlineLevel="0" collapsed="false">
      <c r="A43" s="3" t="s">
        <v>92</v>
      </c>
      <c r="B43" s="6" t="n">
        <v>1</v>
      </c>
      <c r="C43" s="20"/>
      <c r="D43" s="20"/>
      <c r="E43" s="20"/>
      <c r="F43" s="20"/>
      <c r="G43" s="20"/>
    </row>
    <row r="44" customFormat="false" ht="28.45" hidden="false" customHeight="true" outlineLevel="0" collapsed="false">
      <c r="A44" s="3" t="s">
        <v>93</v>
      </c>
      <c r="B44" s="13" t="s">
        <v>94</v>
      </c>
      <c r="C44" s="8" t="s">
        <v>95</v>
      </c>
      <c r="D44" s="8"/>
      <c r="E44" s="8"/>
      <c r="F44" s="8"/>
      <c r="G44" s="8"/>
    </row>
    <row r="45" customFormat="false" ht="30.65" hidden="false" customHeight="true" outlineLevel="0" collapsed="false">
      <c r="A45" s="3" t="s">
        <v>96</v>
      </c>
      <c r="B45" s="6" t="n">
        <v>0.87</v>
      </c>
      <c r="C45" s="1" t="s">
        <v>97</v>
      </c>
      <c r="G45" s="8"/>
    </row>
    <row r="46" customFormat="false" ht="24.05" hidden="false" customHeight="true" outlineLevel="0" collapsed="false">
      <c r="A46" s="3" t="s">
        <v>98</v>
      </c>
      <c r="B46" s="6" t="n">
        <v>0.1</v>
      </c>
      <c r="C46" s="0"/>
      <c r="D46" s="0"/>
      <c r="E46" s="0"/>
      <c r="F46" s="0"/>
    </row>
    <row r="47" customFormat="false" ht="14.75" hidden="false" customHeight="true" outlineLevel="0" collapsed="false">
      <c r="A47" s="3" t="s">
        <v>99</v>
      </c>
      <c r="B47" s="6" t="n">
        <f aca="false">100%-(B45+B46)</f>
        <v>0.03</v>
      </c>
      <c r="C47" s="8" t="s">
        <v>100</v>
      </c>
      <c r="D47" s="8"/>
      <c r="E47" s="8"/>
      <c r="F47" s="8"/>
      <c r="G47" s="8"/>
    </row>
    <row r="48" customFormat="false" ht="39.95" hidden="false" customHeight="true" outlineLevel="0" collapsed="false">
      <c r="A48" s="3" t="s">
        <v>101</v>
      </c>
      <c r="B48" s="6" t="n">
        <f aca="false">(B45*B41)+(B42*B46)</f>
        <v>0.274</v>
      </c>
      <c r="C48" s="8" t="s">
        <v>102</v>
      </c>
      <c r="D48" s="8"/>
      <c r="E48" s="8"/>
      <c r="F48" s="8"/>
      <c r="G48" s="8"/>
    </row>
    <row r="49" customFormat="false" ht="18.65" hidden="false" customHeight="true" outlineLevel="0" collapsed="false">
      <c r="A49" s="3" t="s">
        <v>103</v>
      </c>
      <c r="B49" s="6" t="n">
        <v>0.14</v>
      </c>
      <c r="C49" s="21" t="s">
        <v>104</v>
      </c>
      <c r="D49" s="21"/>
      <c r="E49" s="21"/>
      <c r="F49" s="21"/>
      <c r="G49" s="21"/>
    </row>
    <row r="50" customFormat="false" ht="42.75" hidden="false" customHeight="true" outlineLevel="0" collapsed="false">
      <c r="A50" s="3" t="s">
        <v>105</v>
      </c>
      <c r="B50" s="6" t="n">
        <f aca="false">((100%-B49)/100%)*B48</f>
        <v>0.23564</v>
      </c>
      <c r="C50" s="21"/>
      <c r="D50" s="21"/>
      <c r="E50" s="21"/>
      <c r="F50" s="21"/>
      <c r="G50" s="21"/>
    </row>
    <row r="51" customFormat="false" ht="12.55" hidden="false" customHeight="true" outlineLevel="0" collapsed="false">
      <c r="A51" s="3"/>
      <c r="B51" s="13"/>
      <c r="C51" s="8"/>
      <c r="D51" s="8"/>
      <c r="E51" s="8"/>
      <c r="F51" s="8"/>
      <c r="G51" s="8"/>
    </row>
    <row r="52" customFormat="false" ht="12.55" hidden="false" customHeight="true" outlineLevel="0" collapsed="false">
      <c r="A52" s="16" t="s">
        <v>106</v>
      </c>
      <c r="B52" s="6"/>
      <c r="C52" s="8"/>
      <c r="D52" s="8"/>
      <c r="E52" s="8"/>
      <c r="F52" s="8"/>
      <c r="G52" s="8"/>
    </row>
    <row r="53" customFormat="false" ht="19.85" hidden="false" customHeight="true" outlineLevel="0" collapsed="false">
      <c r="A53" s="3" t="s">
        <v>107</v>
      </c>
      <c r="B53" s="6" t="n">
        <v>0.03</v>
      </c>
      <c r="C53" s="8"/>
      <c r="D53" s="8"/>
      <c r="E53" s="8"/>
      <c r="F53" s="8"/>
      <c r="G53" s="8"/>
    </row>
    <row r="54" customFormat="false" ht="22.25" hidden="false" customHeight="true" outlineLevel="0" collapsed="false">
      <c r="A54" s="3" t="s">
        <v>108</v>
      </c>
      <c r="B54" s="12" t="n">
        <v>10</v>
      </c>
      <c r="C54" s="8"/>
      <c r="D54" s="8"/>
      <c r="E54" s="8"/>
      <c r="F54" s="8"/>
      <c r="G54" s="8"/>
    </row>
    <row r="55" customFormat="false" ht="27.7" hidden="false" customHeight="true" outlineLevel="0" collapsed="false">
      <c r="A55" s="3" t="s">
        <v>109</v>
      </c>
      <c r="B55" s="13" t="n">
        <f aca="false">YOYNGDecline!B15</f>
        <v>10.6926498399765</v>
      </c>
      <c r="C55" s="8" t="s">
        <v>110</v>
      </c>
      <c r="D55" s="8"/>
      <c r="E55" s="8"/>
      <c r="F55" s="8"/>
      <c r="G55" s="8"/>
    </row>
    <row r="56" customFormat="false" ht="22.25" hidden="false" customHeight="true" outlineLevel="0" collapsed="false">
      <c r="A56" s="3" t="s">
        <v>111</v>
      </c>
      <c r="B56" s="6" t="n">
        <f aca="false">(B20-B55)/B20</f>
        <v>0.262575873105072</v>
      </c>
      <c r="C56" s="8" t="s">
        <v>112</v>
      </c>
      <c r="D56" s="8"/>
      <c r="E56" s="8"/>
      <c r="F56" s="8"/>
      <c r="G56" s="8"/>
    </row>
    <row r="57" customFormat="false" ht="12.55" hidden="false" customHeight="true" outlineLevel="0" collapsed="false">
      <c r="A57" s="3"/>
      <c r="B57" s="13"/>
      <c r="C57" s="8"/>
      <c r="D57" s="8"/>
      <c r="E57" s="8"/>
      <c r="F57" s="8"/>
      <c r="G57" s="8"/>
    </row>
    <row r="58" customFormat="false" ht="12.55" hidden="false" customHeight="true" outlineLevel="0" collapsed="false">
      <c r="A58" s="3" t="s">
        <v>113</v>
      </c>
      <c r="B58" s="13"/>
      <c r="C58" s="8"/>
      <c r="D58" s="8"/>
      <c r="E58" s="8"/>
      <c r="F58" s="8"/>
      <c r="G58" s="8"/>
    </row>
    <row r="59" customFormat="false" ht="12.55" hidden="false" customHeight="true" outlineLevel="0" collapsed="false">
      <c r="A59" s="16" t="s">
        <v>114</v>
      </c>
      <c r="B59" s="13"/>
      <c r="C59" s="8"/>
      <c r="D59" s="8"/>
      <c r="E59" s="8"/>
      <c r="F59" s="8"/>
      <c r="G59" s="8"/>
    </row>
    <row r="60" customFormat="false" ht="24.05" hidden="false" customHeight="true" outlineLevel="0" collapsed="false">
      <c r="A60" s="3" t="s">
        <v>115</v>
      </c>
      <c r="B60" s="12" t="n">
        <v>1000000</v>
      </c>
      <c r="C60" s="8" t="s">
        <v>116</v>
      </c>
      <c r="D60" s="8"/>
      <c r="E60" s="8"/>
      <c r="F60" s="8"/>
      <c r="G60" s="8"/>
    </row>
    <row r="61" customFormat="false" ht="21.65" hidden="false" customHeight="true" outlineLevel="0" collapsed="false">
      <c r="A61" s="3" t="s">
        <v>117</v>
      </c>
      <c r="B61" s="12" t="n">
        <v>8488086</v>
      </c>
      <c r="C61" s="8"/>
      <c r="D61" s="8"/>
      <c r="E61" s="8"/>
      <c r="F61" s="8"/>
      <c r="G61" s="8"/>
    </row>
    <row r="62" customFormat="false" ht="12.55" hidden="false" customHeight="true" outlineLevel="0" collapsed="false">
      <c r="A62" s="3" t="s">
        <v>118</v>
      </c>
      <c r="B62" s="6" t="n">
        <f aca="false">B60/B61</f>
        <v>0.117812189933043</v>
      </c>
      <c r="C62" s="8"/>
      <c r="D62" s="8"/>
      <c r="E62" s="8"/>
      <c r="F62" s="8"/>
      <c r="G62" s="8"/>
    </row>
    <row r="63" customFormat="false" ht="12.55" hidden="false" customHeight="true" outlineLevel="0" collapsed="false">
      <c r="A63" s="3"/>
      <c r="B63" s="6"/>
      <c r="C63" s="8"/>
      <c r="D63" s="8"/>
      <c r="E63" s="8"/>
      <c r="F63" s="8"/>
      <c r="G63" s="8"/>
    </row>
    <row r="64" customFormat="false" ht="12.55" hidden="false" customHeight="true" outlineLevel="0" collapsed="false">
      <c r="A64" s="16" t="s">
        <v>119</v>
      </c>
      <c r="B64" s="13"/>
      <c r="C64" s="8"/>
      <c r="D64" s="8"/>
      <c r="E64" s="8"/>
      <c r="F64" s="8"/>
      <c r="G64" s="8"/>
    </row>
    <row r="65" customFormat="false" ht="12.55" hidden="false" customHeight="true" outlineLevel="0" collapsed="false">
      <c r="A65" s="16" t="s">
        <v>114</v>
      </c>
      <c r="B65" s="13"/>
      <c r="C65" s="8"/>
      <c r="D65" s="8"/>
      <c r="E65" s="8"/>
      <c r="F65" s="8"/>
      <c r="G65" s="8"/>
    </row>
    <row r="66" customFormat="false" ht="12.55" hidden="false" customHeight="true" outlineLevel="0" collapsed="false">
      <c r="A66" s="22" t="s">
        <v>120</v>
      </c>
      <c r="B66" s="23"/>
      <c r="C66" s="8"/>
      <c r="D66" s="8"/>
      <c r="E66" s="8"/>
      <c r="F66" s="8"/>
      <c r="G66" s="8"/>
    </row>
    <row r="67" customFormat="false" ht="12.55" hidden="false" customHeight="true" outlineLevel="0" collapsed="false">
      <c r="A67" s="24" t="s">
        <v>121</v>
      </c>
      <c r="B67" s="13"/>
      <c r="C67" s="8"/>
      <c r="D67" s="8"/>
      <c r="E67" s="8"/>
      <c r="F67" s="8"/>
      <c r="G67" s="8"/>
    </row>
    <row r="68" customFormat="false" ht="12.55" hidden="false" customHeight="true" outlineLevel="0" collapsed="false">
      <c r="A68" s="24" t="s">
        <v>122</v>
      </c>
      <c r="B68" s="13"/>
      <c r="C68" s="8"/>
      <c r="D68" s="8"/>
      <c r="E68" s="8"/>
      <c r="F68" s="8"/>
      <c r="G68" s="8"/>
    </row>
    <row r="69" customFormat="false" ht="12.55" hidden="false" customHeight="true" outlineLevel="0" collapsed="false">
      <c r="A69" s="3" t="s">
        <v>123</v>
      </c>
      <c r="B69" s="7" t="n">
        <v>19.7</v>
      </c>
      <c r="C69" s="8"/>
      <c r="D69" s="8"/>
      <c r="E69" s="8"/>
      <c r="F69" s="8"/>
      <c r="G69" s="8"/>
    </row>
    <row r="70" customFormat="false" ht="12.55" hidden="false" customHeight="true" outlineLevel="0" collapsed="false">
      <c r="A70" s="3" t="s">
        <v>124</v>
      </c>
      <c r="B70" s="7" t="n">
        <v>10.3</v>
      </c>
      <c r="C70" s="8"/>
      <c r="D70" s="8"/>
      <c r="E70" s="8"/>
      <c r="F70" s="8"/>
      <c r="G70" s="8"/>
    </row>
    <row r="71" customFormat="false" ht="40.5" hidden="false" customHeight="true" outlineLevel="0" collapsed="false">
      <c r="A71" s="3" t="s">
        <v>125</v>
      </c>
      <c r="B71" s="13" t="n">
        <f aca="false">(B69-B70)/(2030-2017)</f>
        <v>0.723076923076923</v>
      </c>
      <c r="C71" s="8"/>
      <c r="D71" s="8"/>
      <c r="E71" s="8"/>
      <c r="F71" s="8"/>
      <c r="G71" s="8"/>
    </row>
    <row r="72" customFormat="false" ht="11.5" hidden="false" customHeight="true" outlineLevel="0" collapsed="false">
      <c r="A72" s="3" t="s">
        <v>126</v>
      </c>
      <c r="B72" s="12" t="n">
        <v>6893574</v>
      </c>
      <c r="C72" s="8"/>
      <c r="D72" s="8"/>
      <c r="E72" s="8"/>
      <c r="F72" s="8"/>
      <c r="G72" s="8"/>
    </row>
    <row r="73" customFormat="false" ht="11.5" hidden="false" customHeight="true" outlineLevel="0" collapsed="false">
      <c r="A73" s="3" t="s">
        <v>127</v>
      </c>
      <c r="B73" s="12" t="n">
        <v>9288994</v>
      </c>
      <c r="C73" s="8"/>
      <c r="D73" s="8"/>
      <c r="E73" s="8"/>
      <c r="F73" s="8"/>
      <c r="G73" s="8"/>
    </row>
    <row r="74" customFormat="false" ht="60.2" hidden="false" customHeight="true" outlineLevel="0" collapsed="false">
      <c r="A74" s="3" t="s">
        <v>128</v>
      </c>
      <c r="B74" s="13" t="n">
        <f aca="false">B71*(B73/B72)</f>
        <v>0.9743359830474</v>
      </c>
      <c r="C74" s="8" t="s">
        <v>129</v>
      </c>
      <c r="D74" s="8"/>
      <c r="E74" s="8"/>
      <c r="F74" s="8"/>
      <c r="G74" s="8"/>
    </row>
    <row r="75" customFormat="false" ht="46.5" hidden="false" customHeight="true" outlineLevel="0" collapsed="false">
      <c r="A75" s="3" t="s">
        <v>130</v>
      </c>
      <c r="B75" s="13" t="n">
        <f aca="false">B27* B74</f>
        <v>8.7690238474266</v>
      </c>
      <c r="C75" s="8"/>
      <c r="D75" s="8"/>
      <c r="E75" s="8"/>
      <c r="F75" s="8"/>
      <c r="G75" s="8"/>
    </row>
    <row r="76" customFormat="false" ht="11.5" hidden="false" customHeight="true" outlineLevel="0" collapsed="false">
      <c r="A76" s="3"/>
      <c r="B76" s="13"/>
      <c r="C76" s="8"/>
      <c r="D76" s="8"/>
      <c r="E76" s="8"/>
      <c r="F76" s="8"/>
      <c r="G76" s="8"/>
    </row>
    <row r="77" customFormat="false" ht="11.5" hidden="false" customHeight="true" outlineLevel="0" collapsed="false">
      <c r="A77" s="3" t="s">
        <v>131</v>
      </c>
      <c r="B77" s="13"/>
      <c r="C77" s="8"/>
      <c r="D77" s="8"/>
      <c r="E77" s="8"/>
      <c r="F77" s="8"/>
      <c r="G77" s="8"/>
    </row>
    <row r="78" customFormat="false" ht="12.8" hidden="false" customHeight="false" outlineLevel="0" collapsed="false">
      <c r="A78" s="8" t="s">
        <v>132</v>
      </c>
    </row>
    <row r="79" customFormat="false" ht="12.8" hidden="false" customHeight="false" outlineLevel="0" collapsed="false">
      <c r="A79" s="8" t="s">
        <v>133</v>
      </c>
    </row>
    <row r="80" customFormat="false" ht="12.8" hidden="false" customHeight="false" outlineLevel="0" collapsed="false">
      <c r="A80" s="8" t="s">
        <v>134</v>
      </c>
    </row>
    <row r="81" customFormat="false" ht="12.8" hidden="false" customHeight="false" outlineLevel="0" collapsed="false">
      <c r="A81" s="8" t="s">
        <v>135</v>
      </c>
    </row>
    <row r="82" customFormat="false" ht="12.8" hidden="false" customHeight="false" outlineLevel="0" collapsed="false">
      <c r="A82" s="8" t="s">
        <v>136</v>
      </c>
    </row>
    <row r="83" customFormat="false" ht="12.8" hidden="false" customHeight="false" outlineLevel="0" collapsed="false">
      <c r="A83" s="8" t="s">
        <v>137</v>
      </c>
    </row>
    <row r="84" customFormat="false" ht="12.8" hidden="false" customHeight="false" outlineLevel="0" collapsed="false">
      <c r="A84" s="24" t="s">
        <v>138</v>
      </c>
    </row>
    <row r="85" customFormat="false" ht="12.8" hidden="false" customHeight="false" outlineLevel="0" collapsed="false">
      <c r="A85" s="24" t="s">
        <v>139</v>
      </c>
    </row>
    <row r="86" customFormat="false" ht="12.8" hidden="false" customHeight="false" outlineLevel="0" collapsed="false">
      <c r="A86" s="8" t="s">
        <v>140</v>
      </c>
    </row>
    <row r="87" customFormat="false" ht="12.8" hidden="false" customHeight="false" outlineLevel="0" collapsed="false">
      <c r="A87" s="8" t="s">
        <v>141</v>
      </c>
    </row>
    <row r="88" customFormat="false" ht="12.8" hidden="false" customHeight="false" outlineLevel="0" collapsed="false">
      <c r="A88" s="8" t="s">
        <v>142</v>
      </c>
    </row>
  </sheetData>
  <mergeCells count="2">
    <mergeCell ref="B4:N4"/>
    <mergeCell ref="B10:N10"/>
  </mergeCells>
  <hyperlinks>
    <hyperlink ref="C40" r:id="rId1" display="https://acadiacenter.org/resource/the-future-is-electric/  “NJBPU together with other agencies should set new goals to convert all homes with costly electric resistance, oil or propane heating to electric heat pumps by 2030, as well as at least 20% of homes with fossil gas heating systems”"/>
    <hyperlink ref="C49" r:id="rId2" display="https://www.eia.gov/state/?sid=NJ "/>
    <hyperlink ref="A66" r:id="rId3" display="https://www.mass.gov/doc/interim-clean-energy-and-climate-plan-for-2030-december-30-2020/download"/>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9" activeCellId="0" sqref="B19"/>
    </sheetView>
  </sheetViews>
  <sheetFormatPr defaultColWidth="11.60546875" defaultRowHeight="12.8" zeroHeight="false" outlineLevelRow="0" outlineLevelCol="0"/>
  <cols>
    <col collapsed="false" customWidth="true" hidden="false" outlineLevel="0" max="1" min="1" style="0" width="12.66"/>
    <col collapsed="false" customWidth="true" hidden="false" outlineLevel="0" max="2" min="2" style="0" width="18.39"/>
  </cols>
  <sheetData>
    <row r="1" customFormat="false" ht="12.8" hidden="false" customHeight="false" outlineLevel="0" collapsed="false">
      <c r="A1" s="0" t="s">
        <v>143</v>
      </c>
      <c r="B1" s="25" t="n">
        <f aca="false">2030Targets!B53</f>
        <v>0.03</v>
      </c>
    </row>
    <row r="2" customFormat="false" ht="12.8" hidden="false" customHeight="false" outlineLevel="0" collapsed="false">
      <c r="A2" s="0" t="s">
        <v>144</v>
      </c>
      <c r="B2" s="26" t="n">
        <f aca="false">2030Targets!B54</f>
        <v>10</v>
      </c>
    </row>
    <row r="4" customFormat="false" ht="12.8" hidden="false" customHeight="false" outlineLevel="0" collapsed="false">
      <c r="A4" s="0" t="s">
        <v>145</v>
      </c>
      <c r="B4" s="0" t="s">
        <v>146</v>
      </c>
    </row>
    <row r="5" customFormat="false" ht="12.8" hidden="false" customHeight="false" outlineLevel="0" collapsed="false">
      <c r="A5" s="0" t="s">
        <v>147</v>
      </c>
      <c r="B5" s="27" t="n">
        <f aca="false">2030Targets!B20</f>
        <v>14.5</v>
      </c>
    </row>
    <row r="6" customFormat="false" ht="12.8" hidden="false" customHeight="false" outlineLevel="0" collapsed="false">
      <c r="A6" s="0" t="n">
        <v>1</v>
      </c>
      <c r="B6" s="28" t="n">
        <f aca="false">B5-(B5*$B$1)</f>
        <v>14.065</v>
      </c>
    </row>
    <row r="7" customFormat="false" ht="12.8" hidden="false" customHeight="false" outlineLevel="0" collapsed="false">
      <c r="A7" s="0" t="n">
        <f aca="false">A6+1</f>
        <v>2</v>
      </c>
      <c r="B7" s="28" t="n">
        <f aca="false">B6-(B6*$B$1)</f>
        <v>13.64305</v>
      </c>
    </row>
    <row r="8" customFormat="false" ht="12.8" hidden="false" customHeight="false" outlineLevel="0" collapsed="false">
      <c r="A8" s="0" t="n">
        <f aca="false">A7+1</f>
        <v>3</v>
      </c>
      <c r="B8" s="28" t="n">
        <f aca="false">B7-(B7*$B$1)</f>
        <v>13.2337585</v>
      </c>
    </row>
    <row r="9" customFormat="false" ht="12.8" hidden="false" customHeight="false" outlineLevel="0" collapsed="false">
      <c r="A9" s="0" t="n">
        <f aca="false">A8+1</f>
        <v>4</v>
      </c>
      <c r="B9" s="28" t="n">
        <f aca="false">B8-(B8*$B$1)</f>
        <v>12.836745745</v>
      </c>
    </row>
    <row r="10" customFormat="false" ht="12.8" hidden="false" customHeight="false" outlineLevel="0" collapsed="false">
      <c r="A10" s="0" t="n">
        <f aca="false">A9+1</f>
        <v>5</v>
      </c>
      <c r="B10" s="28" t="n">
        <f aca="false">B9-(B9*$B$1)</f>
        <v>12.45164337265</v>
      </c>
    </row>
    <row r="11" customFormat="false" ht="12.8" hidden="false" customHeight="false" outlineLevel="0" collapsed="false">
      <c r="A11" s="0" t="n">
        <f aca="false">A10+1</f>
        <v>6</v>
      </c>
      <c r="B11" s="28" t="n">
        <f aca="false">B10-(B10*$B$1)</f>
        <v>12.0780940714705</v>
      </c>
    </row>
    <row r="12" customFormat="false" ht="12.8" hidden="false" customHeight="false" outlineLevel="0" collapsed="false">
      <c r="A12" s="0" t="n">
        <f aca="false">A11+1</f>
        <v>7</v>
      </c>
      <c r="B12" s="28" t="n">
        <f aca="false">B11-(B11*$B$1)</f>
        <v>11.7157512493264</v>
      </c>
    </row>
    <row r="13" customFormat="false" ht="12.8" hidden="false" customHeight="false" outlineLevel="0" collapsed="false">
      <c r="A13" s="0" t="n">
        <f aca="false">A12+1</f>
        <v>8</v>
      </c>
      <c r="B13" s="28" t="n">
        <f aca="false">B12-(B12*$B$1)</f>
        <v>11.3642787118466</v>
      </c>
    </row>
    <row r="14" customFormat="false" ht="12.8" hidden="false" customHeight="false" outlineLevel="0" collapsed="false">
      <c r="A14" s="0" t="n">
        <f aca="false">A13+1</f>
        <v>9</v>
      </c>
      <c r="B14" s="28" t="n">
        <f aca="false">B13-(B13*$B$1)</f>
        <v>11.0233503504912</v>
      </c>
    </row>
    <row r="15" customFormat="false" ht="12.8" hidden="false" customHeight="false" outlineLevel="0" collapsed="false">
      <c r="A15" s="0" t="n">
        <f aca="false">A14+1</f>
        <v>10</v>
      </c>
      <c r="B15" s="28" t="n">
        <f aca="false">B14-(B14*$B$1)</f>
        <v>10.6926498399765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0"/>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E1" activeCellId="0" sqref="E1"/>
    </sheetView>
  </sheetViews>
  <sheetFormatPr defaultColWidth="12.47265625" defaultRowHeight="12.8" zeroHeight="false" outlineLevelRow="0" outlineLevelCol="0"/>
  <sheetData>
    <row r="1" customFormat="false" ht="12.8" hidden="false" customHeight="false" outlineLevel="0" collapsed="false">
      <c r="A1" s="0" t="s">
        <v>148</v>
      </c>
    </row>
    <row r="2" customFormat="false" ht="12.8" hidden="false" customHeight="false" outlineLevel="0" collapsed="false">
      <c r="A2" s="0" t="s">
        <v>149</v>
      </c>
    </row>
    <row r="37" customFormat="false" ht="12.8" hidden="false" customHeight="false" outlineLevel="0" collapsed="false">
      <c r="A37" s="0" t="s">
        <v>150</v>
      </c>
    </row>
    <row r="38" customFormat="false" ht="12.8" hidden="false" customHeight="false" outlineLevel="0" collapsed="false">
      <c r="A38" s="1" t="s">
        <v>37</v>
      </c>
      <c r="B38" s="8" t="s">
        <v>38</v>
      </c>
    </row>
    <row r="50" customFormat="false" ht="12.8" hidden="false" customHeight="false" outlineLevel="0" collapsed="false">
      <c r="C50" s="1"/>
      <c r="D50" s="1"/>
      <c r="E50" s="1"/>
      <c r="F50" s="1"/>
      <c r="G50" s="2"/>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G4" activeCellId="0" sqref="G4"/>
    </sheetView>
  </sheetViews>
  <sheetFormatPr defaultColWidth="11.8046875" defaultRowHeight="12.8" zeroHeight="false" outlineLevelRow="0" outlineLevelCol="0"/>
  <sheetData>
    <row r="1" customFormat="false" ht="12.8" hidden="false" customHeight="false" outlineLevel="0" collapsed="false">
      <c r="A1" s="0" t="s">
        <v>120</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2935</TotalTime>
  <Application>LibreOffice/7.1.5.2$Windows_X86_64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2021-08-27T16:39:00Z</dcterms:created>
  <dc:creator/>
  <dc:description/>
  <dc:language>en-US</dc:language>
  <cp:lastModifiedBy/>
  <dcterms:modified xsi:type="dcterms:W3CDTF">2022-05-12T13:58:33Z</dcterms:modified>
  <cp:revision>676</cp:revision>
  <dc:subject/>
  <dc:title/>
</cp:coreProperties>
</file>

<file path=docProps/custom.xml><?xml version="1.0" encoding="utf-8"?>
<Properties xmlns="http://schemas.openxmlformats.org/officeDocument/2006/custom-properties" xmlns:vt="http://schemas.openxmlformats.org/officeDocument/2006/docPropsVTypes"/>
</file>